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autoCompressPictures="0"/>
  <bookViews>
    <workbookView xWindow="0" yWindow="120" windowWidth="15480" windowHeight="11640" tabRatio="690"/>
  </bookViews>
  <sheets>
    <sheet name="January" sheetId="1" r:id="rId1"/>
    <sheet name="February" sheetId="6" r:id="rId2"/>
    <sheet name="March" sheetId="7" r:id="rId3"/>
    <sheet name="April" sheetId="8" r:id="rId4"/>
    <sheet name="May" sheetId="9" r:id="rId5"/>
    <sheet name="June" sheetId="10" r:id="rId6"/>
    <sheet name="July" sheetId="11" r:id="rId7"/>
    <sheet name="August" sheetId="12" r:id="rId8"/>
    <sheet name="September" sheetId="13" r:id="rId9"/>
    <sheet name="October" sheetId="14" r:id="rId10"/>
    <sheet name="November" sheetId="15" r:id="rId11"/>
    <sheet name="December" sheetId="16" r:id="rId12"/>
  </sheets>
  <definedNames>
    <definedName name="AprSun1">DATE(CalendarYear,4,1)-WEEKDAY(DATE(CalendarYear,4,1))+1</definedName>
    <definedName name="_xlnm.Print_Area" localSheetId="3">April!$A$1:$M$50</definedName>
    <definedName name="_xlnm.Print_Area" localSheetId="7">August!$A$1:$M$50</definedName>
    <definedName name="_xlnm.Print_Area" localSheetId="11">December!$A$1:$M$50</definedName>
    <definedName name="_xlnm.Print_Area" localSheetId="1">February!$A$1:$M$50</definedName>
    <definedName name="_xlnm.Print_Area" localSheetId="0">January!$A$1:$M$50</definedName>
    <definedName name="_xlnm.Print_Area" localSheetId="6">July!$A$1:$M$50</definedName>
    <definedName name="_xlnm.Print_Area" localSheetId="5">June!$A$1:$M$50</definedName>
    <definedName name="_xlnm.Print_Area" localSheetId="2">March!$A$1:$M$50</definedName>
    <definedName name="_xlnm.Print_Area" localSheetId="4">May!$A$1:$M$50</definedName>
    <definedName name="_xlnm.Print_Area" localSheetId="10">November!$A$1:$M$50</definedName>
    <definedName name="_xlnm.Print_Area" localSheetId="9">October!$A$1:$M$50</definedName>
    <definedName name="_xlnm.Print_Area" localSheetId="8">September!$A$1:$M$50</definedName>
    <definedName name="AssignmentDays" localSheetId="3">April!$L$4:$L$33</definedName>
    <definedName name="AssignmentDays" localSheetId="7">August!$L$4:$L$33</definedName>
    <definedName name="AssignmentDays" localSheetId="11">December!$L$4:$L$33</definedName>
    <definedName name="AssignmentDays" localSheetId="1">February!$L$5:$L$33</definedName>
    <definedName name="AssignmentDays" localSheetId="6">July!$L$4:$L$33</definedName>
    <definedName name="AssignmentDays" localSheetId="5">June!$L$4:$L$33</definedName>
    <definedName name="AssignmentDays" localSheetId="2">March!$L$4:$L$33</definedName>
    <definedName name="AssignmentDays" localSheetId="4">May!$L$4:$L$33</definedName>
    <definedName name="AssignmentDays" localSheetId="10">November!$L$4:$L$33</definedName>
    <definedName name="AssignmentDays" localSheetId="9">October!$L$4:$L$33</definedName>
    <definedName name="AssignmentDays" localSheetId="8">September!$L$4:$L$33</definedName>
    <definedName name="AssignmentDays">January!$L$4:$L$33</definedName>
    <definedName name="AugSun1">DATE(CalendarYear,8,1)-WEEKDAY(DATE(CalendarYear,8,1))+1</definedName>
    <definedName name="CalendarYear">January!$N$2</definedName>
    <definedName name="DecSun1">DATE(CalendarYear,12,1)-WEEKDAY(DATE(CalendarYear,12,1))+1</definedName>
    <definedName name="FebSun1">DATE(CalendarYear,2,1)-WEEKDAY(DATE(CalendarYear,2,1))+1</definedName>
    <definedName name="ImportantDatesTable" localSheetId="3">April!$L$4:$M$8</definedName>
    <definedName name="ImportantDatesTable" localSheetId="7">August!$L$4:$M$8</definedName>
    <definedName name="ImportantDatesTable" localSheetId="11">December!$L$4:$M$8</definedName>
    <definedName name="ImportantDatesTable" localSheetId="1">February!$L$5:$M$9</definedName>
    <definedName name="ImportantDatesTable" localSheetId="6">July!$L$4:$M$8</definedName>
    <definedName name="ImportantDatesTable" localSheetId="5">June!$L$4:$M$8</definedName>
    <definedName name="ImportantDatesTable" localSheetId="2">March!$L$4:$M$8</definedName>
    <definedName name="ImportantDatesTable" localSheetId="4">May!$L$4:$M$8</definedName>
    <definedName name="ImportantDatesTable" localSheetId="10">November!$L$4:$M$8</definedName>
    <definedName name="ImportantDatesTable" localSheetId="9">October!$L$4:$M$8</definedName>
    <definedName name="ImportantDatesTable" localSheetId="8">September!$L$4:$M$8</definedName>
    <definedName name="ImportantDatesTable">January!$L$4:$M$8</definedName>
    <definedName name="JanSun1">DATE(CalendarYear,1,1)-WEEKDAY(DATE(CalendarYear,1,1))+1</definedName>
    <definedName name="JulSun1">DATE(CalendarYear,7,1)-WEEKDAY(DATE(CalendarYear,7,1))+1</definedName>
    <definedName name="JunSun1">DATE(CalendarYear,6,1)-WEEKDAY(DATE(CalendarYear,6,1))+1</definedName>
    <definedName name="MarSun1">DATE(CalendarYear,3,1)-WEEKDAY(DATE(CalendarYear,3,1))+1</definedName>
    <definedName name="MaySun1">DATE(CalendarYear,5,1)-WEEKDAY(DATE(CalendarYear,5,1))+1</definedName>
    <definedName name="NovSun1">DATE(CalendarYear,11,1)-WEEKDAY(DATE(CalendarYear,11,1))+1</definedName>
    <definedName name="OctSun1">DATE(CalendarYear,10,1)-WEEKDAY(DATE(CalendarYear,10,1))+1</definedName>
    <definedName name="SepSun1">DATE(CalendarYear,9,1)-WEEKDAY(DATE(CalendarYear,9,1))+1</definedName>
  </definedNames>
  <calcPr calcId="145621"/>
  <extLst>
    <ext xmlns:mx="http://schemas.microsoft.com/office/mac/excel/2008/main" uri="{7523E5D3-25F3-A5E0-1632-64F254C22452}">
      <mx:ArchID Flags="2"/>
    </ext>
  </extLst>
</workbook>
</file>

<file path=xl/calcChain.xml><?xml version="1.0" encoding="utf-8"?>
<calcChain xmlns="http://schemas.openxmlformats.org/spreadsheetml/2006/main">
  <c r="F4" i="10" l="1"/>
  <c r="D5" i="12" l="1"/>
  <c r="C4" i="1" l="1"/>
  <c r="D4" i="1"/>
  <c r="E4" i="1"/>
  <c r="F4" i="1"/>
  <c r="G4" i="1"/>
  <c r="H4" i="1"/>
  <c r="I4" i="1"/>
  <c r="C5" i="1"/>
  <c r="D5" i="1"/>
  <c r="E5" i="1"/>
  <c r="F5" i="1"/>
  <c r="G5" i="1"/>
  <c r="H5" i="1"/>
  <c r="I5" i="1"/>
  <c r="C6" i="1"/>
  <c r="D6" i="1"/>
  <c r="E6" i="1"/>
  <c r="F6" i="1"/>
  <c r="G6" i="1"/>
  <c r="H6" i="1"/>
  <c r="I6" i="1"/>
  <c r="C7" i="1"/>
  <c r="D7" i="1"/>
  <c r="E7" i="1"/>
  <c r="F7" i="1"/>
  <c r="G7" i="1"/>
  <c r="H7" i="1"/>
  <c r="I7" i="1"/>
  <c r="C8" i="1"/>
  <c r="D8" i="1"/>
  <c r="E8" i="1"/>
  <c r="F8" i="1"/>
  <c r="G8" i="1"/>
  <c r="H8" i="1"/>
  <c r="I8" i="1"/>
  <c r="C9" i="1"/>
  <c r="D9" i="1"/>
  <c r="E9" i="1"/>
  <c r="F9" i="1"/>
  <c r="G9" i="1"/>
  <c r="H9" i="1"/>
  <c r="I9" i="1"/>
  <c r="I9" i="8" l="1"/>
  <c r="H9" i="8"/>
  <c r="G9" i="8"/>
  <c r="F9" i="8"/>
  <c r="E9" i="8"/>
  <c r="D9" i="8"/>
  <c r="C9" i="8"/>
  <c r="I8" i="8"/>
  <c r="H8" i="8"/>
  <c r="G8" i="8"/>
  <c r="F8" i="8"/>
  <c r="E8" i="8"/>
  <c r="D8" i="8"/>
  <c r="C8" i="8"/>
  <c r="I7" i="8"/>
  <c r="H7" i="8"/>
  <c r="G7" i="8"/>
  <c r="F7" i="8"/>
  <c r="E7" i="8"/>
  <c r="D7" i="8"/>
  <c r="C7" i="8"/>
  <c r="I6" i="8"/>
  <c r="H6" i="8"/>
  <c r="G6" i="8"/>
  <c r="F6" i="8"/>
  <c r="E6" i="8"/>
  <c r="D6" i="8"/>
  <c r="C6" i="8"/>
  <c r="I5" i="8"/>
  <c r="H5" i="8"/>
  <c r="G5" i="8"/>
  <c r="F5" i="8"/>
  <c r="E5" i="8"/>
  <c r="D5" i="8"/>
  <c r="C5" i="8"/>
  <c r="I4" i="8"/>
  <c r="H4" i="8"/>
  <c r="G4" i="8"/>
  <c r="F4" i="8"/>
  <c r="E4" i="8"/>
  <c r="D4" i="8"/>
  <c r="C4" i="8"/>
  <c r="I9" i="16"/>
  <c r="H9" i="16"/>
  <c r="G9" i="16"/>
  <c r="F9" i="16"/>
  <c r="E9" i="16"/>
  <c r="D9" i="16"/>
  <c r="C9" i="16"/>
  <c r="I8" i="16"/>
  <c r="H8" i="16"/>
  <c r="G8" i="16"/>
  <c r="F8" i="16"/>
  <c r="E8" i="16"/>
  <c r="D8" i="16"/>
  <c r="C8" i="16"/>
  <c r="I7" i="16"/>
  <c r="H7" i="16"/>
  <c r="G7" i="16"/>
  <c r="F7" i="16"/>
  <c r="E7" i="16"/>
  <c r="D7" i="16"/>
  <c r="C7" i="16"/>
  <c r="I6" i="16"/>
  <c r="H6" i="16"/>
  <c r="G6" i="16"/>
  <c r="F6" i="16"/>
  <c r="E6" i="16"/>
  <c r="D6" i="16"/>
  <c r="C6" i="16"/>
  <c r="I5" i="16"/>
  <c r="H5" i="16"/>
  <c r="G5" i="16"/>
  <c r="F5" i="16"/>
  <c r="E5" i="16"/>
  <c r="D5" i="16"/>
  <c r="C5" i="16"/>
  <c r="I4" i="16"/>
  <c r="H4" i="16"/>
  <c r="G4" i="16"/>
  <c r="F4" i="16"/>
  <c r="E4" i="16"/>
  <c r="D4" i="16"/>
  <c r="C4" i="16"/>
  <c r="I9" i="15"/>
  <c r="H9" i="15"/>
  <c r="G9" i="15"/>
  <c r="F9" i="15"/>
  <c r="E9" i="15"/>
  <c r="D9" i="15"/>
  <c r="C9" i="15"/>
  <c r="I8" i="15"/>
  <c r="H8" i="15"/>
  <c r="G8" i="15"/>
  <c r="F8" i="15"/>
  <c r="E8" i="15"/>
  <c r="D8" i="15"/>
  <c r="C8" i="15"/>
  <c r="I7" i="15"/>
  <c r="H7" i="15"/>
  <c r="G7" i="15"/>
  <c r="F7" i="15"/>
  <c r="E7" i="15"/>
  <c r="D7" i="15"/>
  <c r="C7" i="15"/>
  <c r="I6" i="15"/>
  <c r="H6" i="15"/>
  <c r="G6" i="15"/>
  <c r="F6" i="15"/>
  <c r="E6" i="15"/>
  <c r="D6" i="15"/>
  <c r="C6" i="15"/>
  <c r="I5" i="15"/>
  <c r="H5" i="15"/>
  <c r="G5" i="15"/>
  <c r="F5" i="15"/>
  <c r="E5" i="15"/>
  <c r="D5" i="15"/>
  <c r="C5" i="15"/>
  <c r="I4" i="15"/>
  <c r="H4" i="15"/>
  <c r="G4" i="15"/>
  <c r="F4" i="15"/>
  <c r="E4" i="15"/>
  <c r="D4" i="15"/>
  <c r="C4" i="15"/>
  <c r="I9" i="14"/>
  <c r="H9" i="14"/>
  <c r="G9" i="14"/>
  <c r="F9" i="14"/>
  <c r="E9" i="14"/>
  <c r="D9" i="14"/>
  <c r="C9" i="14"/>
  <c r="I8" i="14"/>
  <c r="H8" i="14"/>
  <c r="G8" i="14"/>
  <c r="F8" i="14"/>
  <c r="E8" i="14"/>
  <c r="D8" i="14"/>
  <c r="C8" i="14"/>
  <c r="I7" i="14"/>
  <c r="H7" i="14"/>
  <c r="G7" i="14"/>
  <c r="F7" i="14"/>
  <c r="E7" i="14"/>
  <c r="D7" i="14"/>
  <c r="C7" i="14"/>
  <c r="I6" i="14"/>
  <c r="H6" i="14"/>
  <c r="G6" i="14"/>
  <c r="F6" i="14"/>
  <c r="E6" i="14"/>
  <c r="D6" i="14"/>
  <c r="C6" i="14"/>
  <c r="I5" i="14"/>
  <c r="H5" i="14"/>
  <c r="G5" i="14"/>
  <c r="F5" i="14"/>
  <c r="E5" i="14"/>
  <c r="D5" i="14"/>
  <c r="C5" i="14"/>
  <c r="I4" i="14"/>
  <c r="H4" i="14"/>
  <c r="G4" i="14"/>
  <c r="F4" i="14"/>
  <c r="E4" i="14"/>
  <c r="D4" i="14"/>
  <c r="C4" i="14"/>
  <c r="I9" i="13"/>
  <c r="H9" i="13"/>
  <c r="G9" i="13"/>
  <c r="F9" i="13"/>
  <c r="E9" i="13"/>
  <c r="D9" i="13"/>
  <c r="C9" i="13"/>
  <c r="I8" i="13"/>
  <c r="H8" i="13"/>
  <c r="G8" i="13"/>
  <c r="F8" i="13"/>
  <c r="E8" i="13"/>
  <c r="D8" i="13"/>
  <c r="C8" i="13"/>
  <c r="I7" i="13"/>
  <c r="H7" i="13"/>
  <c r="G7" i="13"/>
  <c r="F7" i="13"/>
  <c r="E7" i="13"/>
  <c r="D7" i="13"/>
  <c r="C7" i="13"/>
  <c r="I6" i="13"/>
  <c r="H6" i="13"/>
  <c r="G6" i="13"/>
  <c r="F6" i="13"/>
  <c r="E6" i="13"/>
  <c r="D6" i="13"/>
  <c r="C6" i="13"/>
  <c r="I5" i="13"/>
  <c r="H5" i="13"/>
  <c r="G5" i="13"/>
  <c r="F5" i="13"/>
  <c r="E5" i="13"/>
  <c r="D5" i="13"/>
  <c r="C5" i="13"/>
  <c r="I4" i="13"/>
  <c r="H4" i="13"/>
  <c r="G4" i="13"/>
  <c r="F4" i="13"/>
  <c r="E4" i="13"/>
  <c r="D4" i="13"/>
  <c r="C4" i="13"/>
  <c r="I9" i="12"/>
  <c r="H9" i="12"/>
  <c r="G9" i="12"/>
  <c r="F9" i="12"/>
  <c r="E9" i="12"/>
  <c r="D9" i="12"/>
  <c r="C9" i="12"/>
  <c r="I8" i="12"/>
  <c r="H8" i="12"/>
  <c r="G8" i="12"/>
  <c r="F8" i="12"/>
  <c r="E8" i="12"/>
  <c r="D8" i="12"/>
  <c r="C8" i="12"/>
  <c r="I7" i="12"/>
  <c r="H7" i="12"/>
  <c r="G7" i="12"/>
  <c r="F7" i="12"/>
  <c r="E7" i="12"/>
  <c r="D7" i="12"/>
  <c r="C7" i="12"/>
  <c r="I6" i="12"/>
  <c r="H6" i="12"/>
  <c r="G6" i="12"/>
  <c r="F6" i="12"/>
  <c r="E6" i="12"/>
  <c r="D6" i="12"/>
  <c r="C6" i="12"/>
  <c r="I5" i="12"/>
  <c r="H5" i="12"/>
  <c r="G5" i="12"/>
  <c r="F5" i="12"/>
  <c r="E5" i="12"/>
  <c r="C5" i="12"/>
  <c r="I4" i="12"/>
  <c r="H4" i="12"/>
  <c r="G4" i="12"/>
  <c r="F4" i="12"/>
  <c r="E4" i="12"/>
  <c r="D4" i="12"/>
  <c r="C4" i="12"/>
  <c r="I9" i="11"/>
  <c r="H9" i="11"/>
  <c r="G9" i="11"/>
  <c r="F9" i="11"/>
  <c r="E9" i="11"/>
  <c r="D9" i="11"/>
  <c r="C9" i="11"/>
  <c r="I8" i="11"/>
  <c r="H8" i="11"/>
  <c r="G8" i="11"/>
  <c r="F8" i="11"/>
  <c r="E8" i="11"/>
  <c r="D8" i="11"/>
  <c r="C8" i="11"/>
  <c r="I7" i="11"/>
  <c r="H7" i="11"/>
  <c r="G7" i="11"/>
  <c r="F7" i="11"/>
  <c r="E7" i="11"/>
  <c r="D7" i="11"/>
  <c r="C7" i="11"/>
  <c r="I6" i="11"/>
  <c r="H6" i="11"/>
  <c r="G6" i="11"/>
  <c r="F6" i="11"/>
  <c r="E6" i="11"/>
  <c r="D6" i="11"/>
  <c r="C6" i="11"/>
  <c r="I5" i="11"/>
  <c r="H5" i="11"/>
  <c r="G5" i="11"/>
  <c r="F5" i="11"/>
  <c r="E5" i="11"/>
  <c r="D5" i="11"/>
  <c r="C5" i="11"/>
  <c r="I4" i="11"/>
  <c r="H4" i="11"/>
  <c r="G4" i="11"/>
  <c r="F4" i="11"/>
  <c r="E4" i="11"/>
  <c r="D4" i="11"/>
  <c r="C4" i="11"/>
  <c r="I9" i="10"/>
  <c r="H9" i="10"/>
  <c r="G9" i="10"/>
  <c r="F9" i="10"/>
  <c r="E9" i="10"/>
  <c r="D9" i="10"/>
  <c r="C9" i="10"/>
  <c r="I8" i="10"/>
  <c r="H8" i="10"/>
  <c r="G8" i="10"/>
  <c r="F8" i="10"/>
  <c r="E8" i="10"/>
  <c r="D8" i="10"/>
  <c r="C8" i="10"/>
  <c r="I7" i="10"/>
  <c r="H7" i="10"/>
  <c r="G7" i="10"/>
  <c r="F7" i="10"/>
  <c r="E7" i="10"/>
  <c r="D7" i="10"/>
  <c r="C7" i="10"/>
  <c r="I6" i="10"/>
  <c r="H6" i="10"/>
  <c r="G6" i="10"/>
  <c r="F6" i="10"/>
  <c r="E6" i="10"/>
  <c r="D6" i="10"/>
  <c r="C6" i="10"/>
  <c r="I5" i="10"/>
  <c r="H5" i="10"/>
  <c r="G5" i="10"/>
  <c r="F5" i="10"/>
  <c r="E5" i="10"/>
  <c r="D5" i="10"/>
  <c r="C5" i="10"/>
  <c r="I4" i="10"/>
  <c r="H4" i="10"/>
  <c r="G4" i="10"/>
  <c r="E4" i="10"/>
  <c r="D4" i="10"/>
  <c r="C4" i="10"/>
  <c r="I9" i="9"/>
  <c r="H9" i="9"/>
  <c r="G9" i="9"/>
  <c r="F9" i="9"/>
  <c r="E9" i="9"/>
  <c r="D9" i="9"/>
  <c r="C9" i="9"/>
  <c r="I8" i="9"/>
  <c r="H8" i="9"/>
  <c r="G8" i="9"/>
  <c r="F8" i="9"/>
  <c r="E8" i="9"/>
  <c r="D8" i="9"/>
  <c r="C8" i="9"/>
  <c r="I7" i="9"/>
  <c r="H7" i="9"/>
  <c r="G7" i="9"/>
  <c r="F7" i="9"/>
  <c r="E7" i="9"/>
  <c r="D7" i="9"/>
  <c r="C7" i="9"/>
  <c r="I6" i="9"/>
  <c r="H6" i="9"/>
  <c r="G6" i="9"/>
  <c r="F6" i="9"/>
  <c r="E6" i="9"/>
  <c r="D6" i="9"/>
  <c r="C6" i="9"/>
  <c r="I5" i="9"/>
  <c r="H5" i="9"/>
  <c r="G5" i="9"/>
  <c r="F5" i="9"/>
  <c r="E5" i="9"/>
  <c r="D5" i="9"/>
  <c r="C5" i="9"/>
  <c r="I4" i="9"/>
  <c r="H4" i="9"/>
  <c r="G4" i="9"/>
  <c r="F4" i="9"/>
  <c r="E4" i="9"/>
  <c r="D4" i="9"/>
  <c r="C4" i="9"/>
  <c r="I9" i="7"/>
  <c r="H9" i="7"/>
  <c r="G9" i="7"/>
  <c r="F9" i="7"/>
  <c r="E9" i="7"/>
  <c r="D9" i="7"/>
  <c r="C9" i="7"/>
  <c r="I8" i="7"/>
  <c r="H8" i="7"/>
  <c r="G8" i="7"/>
  <c r="F8" i="7"/>
  <c r="E8" i="7"/>
  <c r="D8" i="7"/>
  <c r="C8" i="7"/>
  <c r="I7" i="7"/>
  <c r="H7" i="7"/>
  <c r="G7" i="7"/>
  <c r="F7" i="7"/>
  <c r="E7" i="7"/>
  <c r="D7" i="7"/>
  <c r="C7" i="7"/>
  <c r="I6" i="7"/>
  <c r="H6" i="7"/>
  <c r="G6" i="7"/>
  <c r="F6" i="7"/>
  <c r="E6" i="7"/>
  <c r="D6" i="7"/>
  <c r="C6" i="7"/>
  <c r="I5" i="7"/>
  <c r="H5" i="7"/>
  <c r="G5" i="7"/>
  <c r="F5" i="7"/>
  <c r="E5" i="7"/>
  <c r="D5" i="7"/>
  <c r="C5" i="7"/>
  <c r="I4" i="7"/>
  <c r="H4" i="7"/>
  <c r="G4" i="7"/>
  <c r="F4" i="7"/>
  <c r="E4" i="7"/>
  <c r="D4" i="7"/>
  <c r="C4" i="7"/>
  <c r="I9" i="6"/>
  <c r="H9" i="6"/>
  <c r="G9" i="6"/>
  <c r="F9" i="6"/>
  <c r="E9" i="6"/>
  <c r="D9" i="6"/>
  <c r="C9" i="6"/>
  <c r="I8" i="6"/>
  <c r="H8" i="6"/>
  <c r="G8" i="6"/>
  <c r="F8" i="6"/>
  <c r="E8" i="6"/>
  <c r="D8" i="6"/>
  <c r="C8" i="6"/>
  <c r="I7" i="6"/>
  <c r="H7" i="6"/>
  <c r="G7" i="6"/>
  <c r="F7" i="6"/>
  <c r="E7" i="6"/>
  <c r="D7" i="6"/>
  <c r="C7" i="6"/>
  <c r="I6" i="6"/>
  <c r="H6" i="6"/>
  <c r="G6" i="6"/>
  <c r="F6" i="6"/>
  <c r="E6" i="6"/>
  <c r="D6" i="6"/>
  <c r="C6" i="6"/>
  <c r="I5" i="6"/>
  <c r="H5" i="6"/>
  <c r="G5" i="6"/>
  <c r="F5" i="6"/>
  <c r="E5" i="6"/>
  <c r="D5" i="6"/>
  <c r="C5" i="6"/>
  <c r="I4" i="6"/>
  <c r="H4" i="6"/>
  <c r="G4" i="6"/>
  <c r="F4" i="6"/>
  <c r="E4" i="6"/>
  <c r="D4" i="6"/>
  <c r="C4" i="6"/>
</calcChain>
</file>

<file path=xl/sharedStrings.xml><?xml version="1.0" encoding="utf-8"?>
<sst xmlns="http://schemas.openxmlformats.org/spreadsheetml/2006/main" count="186" uniqueCount="99">
  <si>
    <t>S</t>
  </si>
  <si>
    <t>T</t>
  </si>
  <si>
    <t>December</t>
  </si>
  <si>
    <t>November</t>
  </si>
  <si>
    <t>October</t>
  </si>
  <si>
    <t>September</t>
  </si>
  <si>
    <t>August</t>
  </si>
  <si>
    <t>July</t>
  </si>
  <si>
    <t>June</t>
  </si>
  <si>
    <t>May</t>
  </si>
  <si>
    <t>April</t>
  </si>
  <si>
    <t>March</t>
  </si>
  <si>
    <t>February</t>
  </si>
  <si>
    <t>January</t>
  </si>
  <si>
    <t>Luis Carlos Monteiro Mendes</t>
  </si>
  <si>
    <t>Vitor Alexandre Pires Escobar</t>
  </si>
  <si>
    <t>Leonor Sousa Neto</t>
  </si>
  <si>
    <t>Francisco Antonio de Castro Mendes</t>
  </si>
  <si>
    <t>Maria José Gonçalves Marcos</t>
  </si>
  <si>
    <t>Tiago José Fernandes Marcos</t>
  </si>
  <si>
    <t>Sara Filipa Alves Cordeiro Rodrigues</t>
  </si>
  <si>
    <t>Joana Filipa Marcos Faia</t>
  </si>
  <si>
    <t>João Filipe Pina Cordeiro</t>
  </si>
  <si>
    <t>José Miguel Fernandes Rodrigues</t>
  </si>
  <si>
    <t>Mariotti Valentina</t>
  </si>
  <si>
    <t>Del Duca Silvia</t>
  </si>
  <si>
    <t>Pellini Eleonora</t>
  </si>
  <si>
    <t>Marcellini Riccardo</t>
  </si>
  <si>
    <t>Venturirs Emily</t>
  </si>
  <si>
    <t>Giovanni Marco</t>
  </si>
  <si>
    <t>Gaeta Martina</t>
  </si>
  <si>
    <t>Avanos Matteo</t>
  </si>
  <si>
    <t>Ferreti Gaia</t>
  </si>
  <si>
    <t>Ramazzoti Perluca</t>
  </si>
  <si>
    <t>Rosso Sofia</t>
  </si>
  <si>
    <t>Tolla Lorenzo</t>
  </si>
  <si>
    <t>Pettinari Luca</t>
  </si>
  <si>
    <t>Novelli Fabrizio</t>
  </si>
  <si>
    <t>Valentini Laura</t>
  </si>
  <si>
    <t>Patini Nicole</t>
  </si>
  <si>
    <t>Raquel Reyero Oliva</t>
  </si>
  <si>
    <t>Alberto Saiz Fernández</t>
  </si>
  <si>
    <t>Sara de la Garma López</t>
  </si>
  <si>
    <t>Guillermo Pérez de Arenaza Pozo</t>
  </si>
  <si>
    <t>Svetlana Emilova</t>
  </si>
  <si>
    <t>Javier Martínez Rubio</t>
  </si>
  <si>
    <t>Cristina Tejado Cruz</t>
  </si>
  <si>
    <t>Miriam Hernández Retortillo</t>
  </si>
  <si>
    <t>Lydia Platas Sánchez</t>
  </si>
  <si>
    <t>Sandra Garcia</t>
  </si>
  <si>
    <t>Irene Ros</t>
  </si>
  <si>
    <t>Victoria Ruiz</t>
  </si>
  <si>
    <t xml:space="preserve">Andres Rodriguez </t>
  </si>
  <si>
    <t>Marcos Rocha</t>
  </si>
  <si>
    <t>Juan Pablo Bernal Gutiérrez</t>
  </si>
  <si>
    <t>Sonia Lizana González</t>
  </si>
  <si>
    <t>Alexis Martínez Benito</t>
  </si>
  <si>
    <t>Maria Oprisan</t>
  </si>
  <si>
    <t>Bianca Damian</t>
  </si>
  <si>
    <t>Alexandra Popoiu</t>
  </si>
  <si>
    <t>Claudia Dajboc</t>
  </si>
  <si>
    <t>Claudia Antoniuc</t>
  </si>
  <si>
    <t>Laurentiu Julei</t>
  </si>
  <si>
    <t>Bogdan Popa</t>
  </si>
  <si>
    <t>Andrei Lungu</t>
  </si>
  <si>
    <t>Andrei Vintila</t>
  </si>
  <si>
    <t>Daniel Ciolacu</t>
  </si>
  <si>
    <t>Roberto Dodu</t>
  </si>
  <si>
    <t>Stefan Serban</t>
  </si>
  <si>
    <t>Alexandru Dumitru</t>
  </si>
  <si>
    <t>Lola Brundu</t>
  </si>
  <si>
    <t>Jean-Batiste Bremond</t>
  </si>
  <si>
    <t>Vincente Etheve</t>
  </si>
  <si>
    <t>Morgane Sabbadin</t>
  </si>
  <si>
    <t>Théo Quanonne</t>
  </si>
  <si>
    <t>Julie Cachia</t>
  </si>
  <si>
    <t>Kenza Makhlouf</t>
  </si>
  <si>
    <t>Lorenzo Buonsignori</t>
  </si>
  <si>
    <t>Arthur Rey-Chatelet</t>
  </si>
  <si>
    <t>Alexia Martino</t>
  </si>
  <si>
    <t>Tom Pruneta</t>
  </si>
  <si>
    <t>Iris Michel</t>
  </si>
  <si>
    <t>Juliette Bienvenu</t>
  </si>
  <si>
    <t>Elisa Denis</t>
  </si>
  <si>
    <t>M</t>
  </si>
  <si>
    <t>W</t>
  </si>
  <si>
    <t>F</t>
  </si>
  <si>
    <t>Tasks/Events</t>
  </si>
  <si>
    <t xml:space="preserve">    Tasks/Events</t>
  </si>
  <si>
    <t>Tasks/ Events</t>
  </si>
  <si>
    <r>
      <t>Tasks/</t>
    </r>
    <r>
      <rPr>
        <b/>
        <sz val="17"/>
        <color rgb="FFC00000"/>
        <rFont val="Cooper Black"/>
        <family val="1"/>
      </rPr>
      <t>Events</t>
    </r>
  </si>
  <si>
    <t xml:space="preserve">Matteo Mastropietro </t>
  </si>
  <si>
    <t>Raluca Tancaba</t>
  </si>
  <si>
    <t>Gyovanna Fernandes dos Reis</t>
  </si>
  <si>
    <t>Irene de Jesus Marques</t>
  </si>
  <si>
    <t>Maria João Cavadas Martins</t>
  </si>
  <si>
    <t>Catarina Faia Ribeiro</t>
  </si>
  <si>
    <t>Rodrigo Cordeiro Esperança</t>
  </si>
  <si>
    <r>
      <t xml:space="preserve">Garbini Samuele/ </t>
    </r>
    <r>
      <rPr>
        <b/>
        <sz val="10"/>
        <color theme="1" tint="0.249977111117893"/>
        <rFont val="Arial"/>
        <family val="2"/>
        <scheme val="minor"/>
      </rPr>
      <t>Ana Sofia Neves</t>
    </r>
  </si>
</sst>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d"/>
  </numFmts>
  <fonts count="65" x14ac:knownFonts="1">
    <font>
      <sz val="10"/>
      <color theme="1"/>
      <name val="Arial"/>
      <family val="2"/>
      <scheme val="minor"/>
    </font>
    <font>
      <sz val="12"/>
      <color rgb="FF002060"/>
      <name val="Arial"/>
      <family val="2"/>
      <scheme val="minor"/>
    </font>
    <font>
      <sz val="8"/>
      <name val="Arial"/>
      <family val="2"/>
      <scheme val="minor"/>
    </font>
    <font>
      <b/>
      <sz val="11"/>
      <color theme="0"/>
      <name val="Arial"/>
      <family val="2"/>
      <scheme val="minor"/>
    </font>
    <font>
      <sz val="11"/>
      <name val="Arial"/>
      <family val="2"/>
      <scheme val="minor"/>
    </font>
    <font>
      <sz val="10"/>
      <color indexed="63"/>
      <name val="Arial"/>
      <family val="4"/>
      <scheme val="minor"/>
    </font>
    <font>
      <b/>
      <sz val="28"/>
      <color theme="1" tint="0.34998626667073579"/>
      <name val="Arial"/>
      <family val="2"/>
      <scheme val="minor"/>
    </font>
    <font>
      <sz val="12"/>
      <color theme="4"/>
      <name val="Arial"/>
      <family val="2"/>
      <scheme val="major"/>
    </font>
    <font>
      <b/>
      <sz val="12"/>
      <color theme="4"/>
      <name val="Arial"/>
      <family val="2"/>
      <scheme val="major"/>
    </font>
    <font>
      <b/>
      <sz val="10"/>
      <color theme="1"/>
      <name val="Arial"/>
      <family val="2"/>
      <scheme val="minor"/>
    </font>
    <font>
      <b/>
      <sz val="12"/>
      <color theme="4"/>
      <name val="Arial"/>
      <family val="2"/>
      <scheme val="minor"/>
    </font>
    <font>
      <sz val="10"/>
      <color theme="0"/>
      <name val="Arial"/>
      <family val="2"/>
      <scheme val="minor"/>
    </font>
    <font>
      <b/>
      <sz val="17"/>
      <color theme="4"/>
      <name val="Arial"/>
      <family val="4"/>
      <scheme val="minor"/>
    </font>
    <font>
      <b/>
      <sz val="8.5"/>
      <color theme="1"/>
      <name val="Arial"/>
      <family val="2"/>
      <scheme val="minor"/>
    </font>
    <font>
      <sz val="8.5"/>
      <color theme="1"/>
      <name val="Arial"/>
      <family val="2"/>
      <scheme val="minor"/>
    </font>
    <font>
      <b/>
      <sz val="8.5"/>
      <color theme="1"/>
      <name val="Arial"/>
      <family val="2"/>
      <scheme val="major"/>
    </font>
    <font>
      <sz val="10"/>
      <color theme="1" tint="0.249977111117893"/>
      <name val="Arial"/>
      <family val="2"/>
      <scheme val="minor"/>
    </font>
    <font>
      <sz val="12"/>
      <color theme="1" tint="0.249977111117893"/>
      <name val="Arial"/>
      <family val="2"/>
      <scheme val="minor"/>
    </font>
    <font>
      <sz val="10.5"/>
      <color theme="1" tint="0.249977111117893"/>
      <name val="Arial"/>
      <family val="2"/>
      <scheme val="minor"/>
    </font>
    <font>
      <b/>
      <sz val="10.5"/>
      <name val="Arial"/>
      <family val="2"/>
      <scheme val="minor"/>
    </font>
    <font>
      <sz val="10"/>
      <name val="Arial"/>
      <family val="2"/>
      <scheme val="minor"/>
    </font>
    <font>
      <b/>
      <sz val="28"/>
      <color theme="1"/>
      <name val="Arial"/>
      <family val="2"/>
      <scheme val="minor"/>
    </font>
    <font>
      <b/>
      <sz val="28"/>
      <color theme="4"/>
      <name val="Cooper Black"/>
      <family val="1"/>
    </font>
    <font>
      <b/>
      <sz val="20"/>
      <color theme="4"/>
      <name val="Cooper Black"/>
      <family val="1"/>
    </font>
    <font>
      <b/>
      <sz val="28"/>
      <color rgb="FF7030A0"/>
      <name val="Cooper Black"/>
      <family val="1"/>
    </font>
    <font>
      <b/>
      <sz val="18"/>
      <color rgb="FF7030A0"/>
      <name val="Cooper Black"/>
      <family val="1"/>
    </font>
    <font>
      <b/>
      <sz val="28"/>
      <color theme="6" tint="-0.249977111117893"/>
      <name val="Cooper Black"/>
      <family val="1"/>
    </font>
    <font>
      <b/>
      <sz val="17"/>
      <color theme="6" tint="-0.249977111117893"/>
      <name val="Cooper Black"/>
      <family val="1"/>
    </font>
    <font>
      <b/>
      <sz val="28"/>
      <color rgb="FF00B050"/>
      <name val="Cooper Black"/>
      <family val="1"/>
    </font>
    <font>
      <b/>
      <sz val="10.5"/>
      <color theme="1" tint="0.249977111117893"/>
      <name val="Arial"/>
      <family val="2"/>
      <scheme val="minor"/>
    </font>
    <font>
      <b/>
      <sz val="28"/>
      <color rgb="FF77A10F"/>
      <name val="Cooper Black"/>
      <family val="1"/>
    </font>
    <font>
      <b/>
      <sz val="28"/>
      <color rgb="FFA12CAA"/>
      <name val="Cooper Black"/>
      <family val="1"/>
    </font>
    <font>
      <b/>
      <sz val="28"/>
      <color rgb="FFD2AA00"/>
      <name val="Cooper Black"/>
      <family val="1"/>
    </font>
    <font>
      <b/>
      <sz val="18"/>
      <color rgb="FFD2AA00"/>
      <name val="Cooper Black"/>
      <family val="1"/>
    </font>
    <font>
      <sz val="18"/>
      <color rgb="FF00B050"/>
      <name val="Cooper Black"/>
      <family val="1"/>
    </font>
    <font>
      <sz val="18"/>
      <color rgb="FF77A10F"/>
      <name val="Cooper Black"/>
      <family val="1"/>
    </font>
    <font>
      <sz val="18"/>
      <color rgb="FFA12CAA"/>
      <name val="Cooper Black"/>
      <family val="1"/>
    </font>
    <font>
      <b/>
      <sz val="24"/>
      <color rgb="FF008A00"/>
      <name val="Cooper Black"/>
      <family val="1"/>
    </font>
    <font>
      <sz val="18"/>
      <color rgb="FF008A00"/>
      <name val="Cooper Black"/>
      <family val="1"/>
    </font>
    <font>
      <b/>
      <sz val="28"/>
      <color theme="8" tint="-0.499984740745262"/>
      <name val="Cooper Black"/>
      <family val="1"/>
    </font>
    <font>
      <sz val="18"/>
      <color theme="8" tint="-0.499984740745262"/>
      <name val="Cooper Black"/>
      <family val="1"/>
    </font>
    <font>
      <b/>
      <sz val="28"/>
      <color theme="3" tint="0.39997558519241921"/>
      <name val="Cooper Black"/>
      <family val="1"/>
    </font>
    <font>
      <sz val="18"/>
      <color theme="3" tint="0.39997558519241921"/>
      <name val="Cooper Black"/>
      <family val="1"/>
    </font>
    <font>
      <b/>
      <sz val="28"/>
      <color rgb="FFC00000"/>
      <name val="Cooper Black"/>
      <family val="1"/>
    </font>
    <font>
      <b/>
      <sz val="17"/>
      <color rgb="FF007400"/>
      <name val="Cooper Black"/>
      <family val="1"/>
    </font>
    <font>
      <b/>
      <sz val="17"/>
      <color rgb="FFC00000"/>
      <name val="Cooper Black"/>
      <family val="1"/>
    </font>
    <font>
      <b/>
      <sz val="28"/>
      <color rgb="FFE28700"/>
      <name val="Cooper Black"/>
      <family val="1"/>
    </font>
    <font>
      <sz val="18"/>
      <color rgb="FFE28700"/>
      <name val="Cooper Black"/>
      <family val="1"/>
    </font>
    <font>
      <sz val="10"/>
      <color theme="1"/>
      <name val="Arial"/>
      <family val="2"/>
    </font>
    <font>
      <sz val="10"/>
      <color theme="1" tint="0.249977111117893"/>
      <name val="Arial"/>
      <family val="2"/>
    </font>
    <font>
      <sz val="14"/>
      <color theme="3" tint="0.39997558519241921"/>
      <name val="Cooper Black"/>
      <family val="1"/>
    </font>
    <font>
      <sz val="14"/>
      <color rgb="FF008A00"/>
      <name val="Cooper Black"/>
      <family val="1"/>
    </font>
    <font>
      <sz val="14"/>
      <color theme="7" tint="-0.499984740745262"/>
      <name val="Cooper Black"/>
      <family val="1"/>
    </font>
    <font>
      <sz val="14"/>
      <color rgb="FFC00000"/>
      <name val="Cooper Black"/>
      <family val="1"/>
    </font>
    <font>
      <sz val="14"/>
      <color theme="8" tint="-0.499984740745262"/>
      <name val="Cooper Black"/>
      <family val="1"/>
    </font>
    <font>
      <sz val="14"/>
      <color rgb="FFD2AA00"/>
      <name val="Cooper Black"/>
      <family val="1"/>
    </font>
    <font>
      <sz val="14"/>
      <color rgb="FFA12CAA"/>
      <name val="Cooper Black"/>
      <family val="1"/>
    </font>
    <font>
      <sz val="14"/>
      <color rgb="FF77A10F"/>
      <name val="Cooper Black"/>
      <family val="1"/>
    </font>
    <font>
      <sz val="14"/>
      <color rgb="FFE28700"/>
      <name val="Cooper Black"/>
      <family val="1"/>
    </font>
    <font>
      <sz val="14"/>
      <color rgb="FF00B050"/>
      <name val="Cooper Black"/>
      <family val="1"/>
    </font>
    <font>
      <sz val="14"/>
      <color theme="6" tint="-0.249977111117893"/>
      <name val="Cooper Black"/>
      <family val="1"/>
    </font>
    <font>
      <sz val="14"/>
      <color rgb="FF7030A0"/>
      <name val="Cooper Black"/>
      <family val="1"/>
    </font>
    <font>
      <sz val="14"/>
      <color theme="4" tint="-0.249977111117893"/>
      <name val="Cooper Black"/>
      <family val="1"/>
    </font>
    <font>
      <sz val="10.5"/>
      <color theme="6" tint="-0.499984740745262"/>
      <name val="Arial"/>
      <family val="2"/>
      <scheme val="minor"/>
    </font>
    <font>
      <b/>
      <sz val="10"/>
      <color theme="1" tint="0.249977111117893"/>
      <name val="Arial"/>
      <family val="2"/>
      <scheme val="minor"/>
    </font>
  </fonts>
  <fills count="13">
    <fill>
      <patternFill patternType="none"/>
    </fill>
    <fill>
      <patternFill patternType="gray125"/>
    </fill>
    <fill>
      <patternFill patternType="solid">
        <fgColor theme="4"/>
      </patternFill>
    </fill>
    <fill>
      <patternFill patternType="solid">
        <fgColor theme="4" tint="0.59999389629810485"/>
        <bgColor indexed="65"/>
      </patternFill>
    </fill>
    <fill>
      <patternFill patternType="solid">
        <fgColor theme="6" tint="0.39997558519241921"/>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bgColor indexed="64"/>
      </patternFill>
    </fill>
    <fill>
      <patternFill patternType="solid">
        <fgColor rgb="FFC7FCC4"/>
        <bgColor indexed="64"/>
      </patternFill>
    </fill>
    <fill>
      <patternFill patternType="solid">
        <fgColor rgb="FFDCF0C6"/>
        <bgColor indexed="64"/>
      </patternFill>
    </fill>
    <fill>
      <patternFill patternType="solid">
        <fgColor theme="8" tint="0.79998168889431442"/>
        <bgColor indexed="64"/>
      </patternFill>
    </fill>
    <fill>
      <patternFill patternType="solid">
        <fgColor theme="3" tint="0.79998168889431442"/>
        <bgColor indexed="64"/>
      </patternFill>
    </fill>
    <fill>
      <patternFill patternType="solid">
        <fgColor theme="0"/>
        <bgColor indexed="64"/>
      </patternFill>
    </fill>
  </fills>
  <borders count="4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right/>
      <top/>
      <bottom style="thin">
        <color theme="5"/>
      </bottom>
      <diagonal/>
    </border>
    <border>
      <left/>
      <right/>
      <top style="thin">
        <color theme="5"/>
      </top>
      <bottom style="thin">
        <color theme="5"/>
      </bottom>
      <diagonal/>
    </border>
    <border>
      <left/>
      <right/>
      <top/>
      <bottom style="thin">
        <color theme="4" tint="0.79998168889431442"/>
      </bottom>
      <diagonal/>
    </border>
    <border>
      <left/>
      <right/>
      <top style="thin">
        <color theme="5"/>
      </top>
      <bottom style="thin">
        <color theme="4" tint="0.79998168889431442"/>
      </bottom>
      <diagonal/>
    </border>
    <border>
      <left/>
      <right style="thin">
        <color theme="0"/>
      </right>
      <top/>
      <bottom/>
      <diagonal/>
    </border>
    <border>
      <left style="thin">
        <color theme="4" tint="0.79998168889431442"/>
      </left>
      <right/>
      <top/>
      <bottom/>
      <diagonal/>
    </border>
    <border>
      <left style="thin">
        <color theme="4" tint="0.79998168889431442"/>
      </left>
      <right style="thin">
        <color theme="0"/>
      </right>
      <top/>
      <bottom/>
      <diagonal/>
    </border>
    <border>
      <left/>
      <right style="thin">
        <color theme="4" tint="0.79998168889431442"/>
      </right>
      <top/>
      <bottom/>
      <diagonal/>
    </border>
    <border>
      <left style="thin">
        <color theme="0"/>
      </left>
      <right/>
      <top/>
      <bottom/>
      <diagonal/>
    </border>
    <border>
      <left style="thin">
        <color theme="4" tint="0.79998168889431442"/>
      </left>
      <right style="thin">
        <color theme="0"/>
      </right>
      <top/>
      <bottom style="thin">
        <color theme="4" tint="0.79995117038483843"/>
      </bottom>
      <diagonal/>
    </border>
    <border>
      <left style="thin">
        <color theme="0"/>
      </left>
      <right/>
      <top/>
      <bottom style="thin">
        <color theme="4" tint="0.79995117038483843"/>
      </bottom>
      <diagonal/>
    </border>
    <border>
      <left/>
      <right style="thin">
        <color theme="0"/>
      </right>
      <top/>
      <bottom style="thin">
        <color theme="4" tint="0.79995117038483843"/>
      </bottom>
      <diagonal/>
    </border>
    <border>
      <left/>
      <right/>
      <top/>
      <bottom style="thin">
        <color theme="4" tint="0.79995117038483843"/>
      </bottom>
      <diagonal/>
    </border>
    <border>
      <left/>
      <right style="thin">
        <color theme="4" tint="0.79992065187536243"/>
      </right>
      <top/>
      <bottom style="thin">
        <color theme="4" tint="0.79995117038483843"/>
      </bottom>
      <diagonal/>
    </border>
    <border>
      <left/>
      <right style="thin">
        <color theme="4" tint="0.79992065187536243"/>
      </right>
      <top/>
      <bottom/>
      <diagonal/>
    </border>
    <border>
      <left/>
      <right/>
      <top style="thin">
        <color theme="4" tint="0.79998168889431442"/>
      </top>
      <bottom style="thin">
        <color theme="5"/>
      </bottom>
      <diagonal/>
    </border>
    <border>
      <left/>
      <right style="thin">
        <color theme="4" tint="0.79995117038483843"/>
      </right>
      <top style="thin">
        <color theme="5"/>
      </top>
      <bottom style="thin">
        <color theme="5"/>
      </bottom>
      <diagonal/>
    </border>
    <border>
      <left/>
      <right style="thin">
        <color theme="4" tint="0.79995117038483843"/>
      </right>
      <top style="thin">
        <color theme="4" tint="0.79998168889431442"/>
      </top>
      <bottom style="thin">
        <color theme="5"/>
      </bottom>
      <diagonal/>
    </border>
    <border>
      <left/>
      <right style="thin">
        <color theme="4" tint="0.79995117038483843"/>
      </right>
      <top style="thin">
        <color theme="5"/>
      </top>
      <bottom style="thin">
        <color theme="4" tint="0.79998168889431442"/>
      </bottom>
      <diagonal/>
    </border>
    <border>
      <left style="thin">
        <color theme="4" tint="0.79998168889431442"/>
      </left>
      <right style="thin">
        <color theme="0"/>
      </right>
      <top/>
      <bottom style="thin">
        <color theme="0"/>
      </bottom>
      <diagonal/>
    </border>
    <border>
      <left style="thin">
        <color theme="0"/>
      </left>
      <right/>
      <top/>
      <bottom style="thin">
        <color theme="0"/>
      </bottom>
      <diagonal/>
    </border>
    <border>
      <left/>
      <right style="thin">
        <color theme="0"/>
      </right>
      <top/>
      <bottom style="thin">
        <color theme="0"/>
      </bottom>
      <diagonal/>
    </border>
    <border>
      <left style="thin">
        <color theme="4" tint="0.79998168889431442"/>
      </left>
      <right style="thin">
        <color theme="0"/>
      </right>
      <top style="thin">
        <color theme="0"/>
      </top>
      <bottom/>
      <diagonal/>
    </border>
    <border>
      <left style="thin">
        <color theme="0"/>
      </left>
      <right/>
      <top style="thin">
        <color theme="0"/>
      </top>
      <bottom/>
      <diagonal/>
    </border>
    <border>
      <left/>
      <right style="thin">
        <color theme="0"/>
      </right>
      <top style="thin">
        <color theme="0"/>
      </top>
      <bottom/>
      <diagonal/>
    </border>
    <border>
      <left/>
      <right style="thin">
        <color theme="4" tint="0.79992065187536243"/>
      </right>
      <top/>
      <bottom style="thin">
        <color theme="0"/>
      </bottom>
      <diagonal/>
    </border>
    <border>
      <left/>
      <right style="thin">
        <color theme="4" tint="0.79992065187536243"/>
      </right>
      <top style="thin">
        <color theme="0"/>
      </top>
      <bottom/>
      <diagonal/>
    </border>
    <border>
      <left style="thin">
        <color theme="4" tint="0.79992065187536243"/>
      </left>
      <right/>
      <top/>
      <bottom/>
      <diagonal/>
    </border>
    <border>
      <left style="thin">
        <color theme="4" tint="0.79992065187536243"/>
      </left>
      <right/>
      <top/>
      <bottom style="thin">
        <color theme="4" tint="0.79989013336588644"/>
      </bottom>
      <diagonal/>
    </border>
    <border>
      <left/>
      <right/>
      <top/>
      <bottom style="thin">
        <color theme="4" tint="0.79989013336588644"/>
      </bottom>
      <diagonal/>
    </border>
    <border>
      <left/>
      <right style="thin">
        <color theme="4" tint="0.79989013336588644"/>
      </right>
      <top/>
      <bottom style="thin">
        <color theme="4" tint="0.79989013336588644"/>
      </bottom>
      <diagonal/>
    </border>
    <border>
      <left style="thin">
        <color theme="4" tint="0.79992065187536243"/>
      </left>
      <right/>
      <top style="thin">
        <color theme="4" tint="0.79989013336588644"/>
      </top>
      <bottom/>
      <diagonal/>
    </border>
    <border>
      <left/>
      <right/>
      <top style="thin">
        <color theme="4" tint="0.79989013336588644"/>
      </top>
      <bottom/>
      <diagonal/>
    </border>
    <border>
      <left/>
      <right style="thin">
        <color theme="4" tint="0.79989013336588644"/>
      </right>
      <top style="thin">
        <color theme="4" tint="0.79989013336588644"/>
      </top>
      <bottom/>
      <diagonal/>
    </border>
    <border>
      <left style="thin">
        <color theme="4" tint="0.79992065187536243"/>
      </left>
      <right/>
      <top style="thin">
        <color theme="4" tint="0.79998168889431442"/>
      </top>
      <bottom/>
      <diagonal/>
    </border>
    <border>
      <left/>
      <right/>
      <top style="thin">
        <color theme="4" tint="0.79989013336588644"/>
      </top>
      <bottom style="thin">
        <color theme="5"/>
      </bottom>
      <diagonal/>
    </border>
    <border>
      <left/>
      <right style="thin">
        <color theme="4" tint="0.79995117038483843"/>
      </right>
      <top style="thin">
        <color theme="4" tint="0.79989013336588644"/>
      </top>
      <bottom style="thin">
        <color theme="5"/>
      </bottom>
      <diagonal/>
    </border>
    <border>
      <left style="thin">
        <color theme="4" tint="0.79998168889431442"/>
      </left>
      <right/>
      <top style="thin">
        <color theme="4" tint="0.79995117038483843"/>
      </top>
      <bottom/>
      <diagonal/>
    </border>
    <border>
      <left/>
      <right/>
      <top style="thin">
        <color theme="4" tint="0.79995117038483843"/>
      </top>
      <bottom/>
      <diagonal/>
    </border>
    <border>
      <left/>
      <right style="thin">
        <color theme="4" tint="0.79992065187536243"/>
      </right>
      <top style="thin">
        <color theme="4" tint="0.79995117038483843"/>
      </top>
      <bottom/>
      <diagonal/>
    </border>
    <border>
      <left style="thin">
        <color theme="4" tint="0.79998168889431442"/>
      </left>
      <right/>
      <top/>
      <bottom style="thin">
        <color theme="4" tint="0.79995117038483843"/>
      </bottom>
      <diagonal/>
    </border>
    <border>
      <left/>
      <right style="thin">
        <color theme="4" tint="0.79985961485641044"/>
      </right>
      <top style="thin">
        <color theme="4" tint="0.79985961485641044"/>
      </top>
      <bottom/>
      <diagonal/>
    </border>
    <border>
      <left/>
      <right style="thin">
        <color theme="4" tint="0.79985961485641044"/>
      </right>
      <top/>
      <bottom style="thin">
        <color theme="4" tint="0.79989013336588644"/>
      </bottom>
      <diagonal/>
    </border>
    <border>
      <left style="thin">
        <color theme="4" tint="0.79998168889431442"/>
      </left>
      <right/>
      <top/>
      <bottom style="thin">
        <color theme="0"/>
      </bottom>
      <diagonal/>
    </border>
    <border>
      <left/>
      <right/>
      <top/>
      <bottom style="thin">
        <color theme="0"/>
      </bottom>
      <diagonal/>
    </border>
    <border>
      <left/>
      <right style="thin">
        <color theme="4" tint="0.79985961485641044"/>
      </right>
      <top/>
      <bottom/>
      <diagonal/>
    </border>
  </borders>
  <cellStyleXfs count="5">
    <xf numFmtId="0" fontId="0" fillId="0" borderId="0"/>
    <xf numFmtId="0" fontId="4" fillId="0" borderId="0"/>
    <xf numFmtId="0" fontId="3" fillId="2" borderId="1" applyNumberFormat="0" applyAlignment="0" applyProtection="0"/>
    <xf numFmtId="0" fontId="5" fillId="3" borderId="0" applyNumberFormat="0" applyBorder="0" applyAlignment="0" applyProtection="0"/>
    <xf numFmtId="0" fontId="6" fillId="0" borderId="0" applyNumberFormat="0" applyFill="0" applyAlignment="0" applyProtection="0"/>
  </cellStyleXfs>
  <cellXfs count="212">
    <xf numFmtId="0" fontId="0" fillId="0" borderId="0" xfId="0"/>
    <xf numFmtId="0" fontId="0" fillId="0" borderId="0" xfId="0" applyFont="1"/>
    <xf numFmtId="0" fontId="0" fillId="0" borderId="9" xfId="0" applyFont="1" applyBorder="1"/>
    <xf numFmtId="0" fontId="0" fillId="0" borderId="16" xfId="0" applyFont="1" applyBorder="1"/>
    <xf numFmtId="164" fontId="18" fillId="0" borderId="0" xfId="0" applyNumberFormat="1" applyFont="1" applyFill="1" applyBorder="1" applyAlignment="1">
      <alignment horizontal="center" vertical="center" wrapText="1"/>
    </xf>
    <xf numFmtId="0" fontId="8" fillId="0" borderId="0" xfId="0" applyFont="1" applyBorder="1" applyAlignment="1">
      <alignment horizontal="right" vertical="center" textRotation="90"/>
    </xf>
    <xf numFmtId="0" fontId="9" fillId="0" borderId="0" xfId="0" applyFont="1" applyBorder="1" applyAlignment="1">
      <alignment horizontal="right" vertical="center"/>
    </xf>
    <xf numFmtId="0" fontId="9" fillId="0" borderId="4" xfId="0" applyFont="1" applyBorder="1" applyAlignment="1">
      <alignment horizontal="right" vertical="center"/>
    </xf>
    <xf numFmtId="0" fontId="7" fillId="0" borderId="0" xfId="0" applyFont="1" applyBorder="1" applyAlignment="1">
      <alignment horizontal="right" vertical="center" textRotation="90"/>
    </xf>
    <xf numFmtId="164" fontId="1" fillId="0" borderId="14" xfId="0" applyNumberFormat="1" applyFont="1" applyFill="1" applyBorder="1" applyAlignment="1">
      <alignment horizontal="right" vertical="center"/>
    </xf>
    <xf numFmtId="0" fontId="9" fillId="0" borderId="2" xfId="0" applyFont="1" applyBorder="1" applyAlignment="1">
      <alignment horizontal="center"/>
    </xf>
    <xf numFmtId="0" fontId="9" fillId="0" borderId="3" xfId="0" applyFont="1" applyBorder="1" applyAlignment="1">
      <alignment horizontal="center"/>
    </xf>
    <xf numFmtId="0" fontId="9" fillId="0" borderId="5" xfId="0" applyFont="1" applyBorder="1" applyAlignment="1">
      <alignment horizontal="center"/>
    </xf>
    <xf numFmtId="0" fontId="9" fillId="0" borderId="4" xfId="0" applyFont="1" applyBorder="1" applyAlignment="1">
      <alignment horizontal="center"/>
    </xf>
    <xf numFmtId="164" fontId="9" fillId="0" borderId="14" xfId="0" applyNumberFormat="1" applyFont="1" applyFill="1" applyBorder="1" applyAlignment="1">
      <alignment horizontal="center"/>
    </xf>
    <xf numFmtId="0" fontId="0" fillId="0" borderId="40" xfId="0" applyFont="1" applyBorder="1"/>
    <xf numFmtId="0" fontId="0" fillId="0" borderId="41" xfId="0" applyFont="1" applyBorder="1"/>
    <xf numFmtId="164" fontId="19" fillId="0" borderId="14" xfId="0" applyNumberFormat="1" applyFont="1" applyFill="1" applyBorder="1" applyAlignment="1">
      <alignment horizontal="left" vertical="center" wrapText="1" indent="1"/>
    </xf>
    <xf numFmtId="0" fontId="0" fillId="0" borderId="15" xfId="0" applyFont="1" applyBorder="1"/>
    <xf numFmtId="0" fontId="0" fillId="0" borderId="43" xfId="0" applyFont="1" applyBorder="1"/>
    <xf numFmtId="0" fontId="0" fillId="0" borderId="44" xfId="0" applyFont="1" applyBorder="1"/>
    <xf numFmtId="0" fontId="11" fillId="0" borderId="8" xfId="0" applyFont="1" applyFill="1" applyBorder="1" applyAlignment="1">
      <alignment horizontal="left" indent="1"/>
    </xf>
    <xf numFmtId="49" fontId="13" fillId="0" borderId="8" xfId="0" applyNumberFormat="1" applyFont="1" applyFill="1" applyBorder="1" applyAlignment="1">
      <alignment horizontal="left" indent="1"/>
    </xf>
    <xf numFmtId="0" fontId="14" fillId="0" borderId="21" xfId="0" applyFont="1" applyFill="1" applyBorder="1" applyAlignment="1">
      <alignment horizontal="left" vertical="top" indent="1"/>
    </xf>
    <xf numFmtId="49" fontId="13" fillId="0" borderId="24" xfId="0" applyNumberFormat="1" applyFont="1" applyFill="1" applyBorder="1" applyAlignment="1">
      <alignment horizontal="left" indent="1"/>
    </xf>
    <xf numFmtId="0" fontId="14" fillId="0" borderId="11" xfId="0" applyFont="1" applyFill="1" applyBorder="1" applyAlignment="1">
      <alignment horizontal="left" vertical="top" indent="1"/>
    </xf>
    <xf numFmtId="0" fontId="0" fillId="0" borderId="0" xfId="0" applyFont="1" applyFill="1"/>
    <xf numFmtId="0" fontId="11" fillId="0" borderId="10" xfId="0" applyFont="1" applyFill="1" applyBorder="1" applyAlignment="1"/>
    <xf numFmtId="0" fontId="11" fillId="0" borderId="6" xfId="0" applyFont="1" applyFill="1" applyBorder="1" applyAlignment="1"/>
    <xf numFmtId="49" fontId="13" fillId="0" borderId="10" xfId="0" applyNumberFormat="1" applyFont="1" applyFill="1" applyBorder="1" applyAlignment="1"/>
    <xf numFmtId="49" fontId="13" fillId="0" borderId="6" xfId="0" applyNumberFormat="1" applyFont="1" applyFill="1" applyBorder="1" applyAlignment="1"/>
    <xf numFmtId="0" fontId="14" fillId="0" borderId="22" xfId="0" applyFont="1" applyFill="1" applyBorder="1" applyAlignment="1">
      <alignment vertical="top"/>
    </xf>
    <xf numFmtId="0" fontId="14" fillId="0" borderId="23" xfId="0" applyFont="1" applyFill="1" applyBorder="1" applyAlignment="1">
      <alignment vertical="top"/>
    </xf>
    <xf numFmtId="49" fontId="13" fillId="0" borderId="25" xfId="0" applyNumberFormat="1" applyFont="1" applyFill="1" applyBorder="1" applyAlignment="1"/>
    <xf numFmtId="49" fontId="13" fillId="0" borderId="26" xfId="0" applyNumberFormat="1" applyFont="1" applyFill="1" applyBorder="1" applyAlignment="1"/>
    <xf numFmtId="0" fontId="0" fillId="0" borderId="3" xfId="0" applyBorder="1" applyAlignment="1">
      <alignment horizontal="left"/>
    </xf>
    <xf numFmtId="0" fontId="16" fillId="0" borderId="3" xfId="0" applyFont="1" applyBorder="1" applyAlignment="1">
      <alignment horizontal="left"/>
    </xf>
    <xf numFmtId="0" fontId="16" fillId="0" borderId="18" xfId="0" applyFont="1" applyBorder="1" applyAlignment="1">
      <alignment horizontal="left"/>
    </xf>
    <xf numFmtId="164" fontId="29" fillId="4" borderId="0" xfId="0" applyNumberFormat="1" applyFont="1" applyFill="1" applyBorder="1" applyAlignment="1">
      <alignment horizontal="center" vertical="center" wrapText="1"/>
    </xf>
    <xf numFmtId="0" fontId="48" fillId="0" borderId="0" xfId="0" applyFont="1"/>
    <xf numFmtId="164" fontId="29" fillId="5" borderId="0" xfId="0" applyNumberFormat="1" applyFont="1" applyFill="1" applyBorder="1" applyAlignment="1">
      <alignment horizontal="center" vertical="center" wrapText="1"/>
    </xf>
    <xf numFmtId="0" fontId="50"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4" fillId="0" borderId="0" xfId="0" applyFont="1" applyFill="1" applyBorder="1" applyAlignment="1">
      <alignment horizontal="center" vertical="center"/>
    </xf>
    <xf numFmtId="0" fontId="55"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57"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9" fillId="0" borderId="0" xfId="0" applyFont="1" applyFill="1" applyBorder="1" applyAlignment="1">
      <alignment horizontal="center" vertical="center"/>
    </xf>
    <xf numFmtId="0" fontId="60" fillId="0" borderId="0" xfId="0" applyFont="1" applyFill="1" applyBorder="1" applyAlignment="1">
      <alignment horizontal="center" vertical="center"/>
    </xf>
    <xf numFmtId="0" fontId="61" fillId="0" borderId="0" xfId="0" applyFont="1" applyFill="1" applyBorder="1" applyAlignment="1">
      <alignment horizontal="center" vertical="center"/>
    </xf>
    <xf numFmtId="0" fontId="62" fillId="0" borderId="0" xfId="0" applyFont="1" applyFill="1" applyBorder="1" applyAlignment="1">
      <alignment horizontal="center" vertical="center"/>
    </xf>
    <xf numFmtId="164" fontId="18" fillId="12" borderId="0" xfId="0" applyNumberFormat="1" applyFont="1" applyFill="1" applyBorder="1" applyAlignment="1">
      <alignment horizontal="center" vertical="center" wrapText="1"/>
    </xf>
    <xf numFmtId="164" fontId="63" fillId="12" borderId="0" xfId="0" applyNumberFormat="1" applyFont="1" applyFill="1" applyBorder="1" applyAlignment="1">
      <alignment horizontal="center" vertical="center" wrapText="1"/>
    </xf>
    <xf numFmtId="0" fontId="0" fillId="0" borderId="14" xfId="0" applyFont="1" applyBorder="1" applyAlignment="1">
      <alignment horizontal="center"/>
    </xf>
    <xf numFmtId="0" fontId="0" fillId="0" borderId="0" xfId="0"/>
    <xf numFmtId="0" fontId="14" fillId="0" borderId="22" xfId="0" applyFont="1" applyFill="1" applyBorder="1" applyAlignment="1">
      <alignment horizontal="left" vertical="top" indent="1"/>
    </xf>
    <xf numFmtId="0" fontId="14" fillId="0" borderId="23" xfId="0" applyFont="1" applyFill="1" applyBorder="1" applyAlignment="1">
      <alignment horizontal="left" vertical="top" indent="1"/>
    </xf>
    <xf numFmtId="49" fontId="13" fillId="0" borderId="10" xfId="0" applyNumberFormat="1" applyFont="1" applyFill="1" applyBorder="1" applyAlignment="1">
      <alignment horizontal="left" indent="1"/>
    </xf>
    <xf numFmtId="49" fontId="13" fillId="0" borderId="6" xfId="0" applyNumberFormat="1" applyFont="1" applyFill="1" applyBorder="1" applyAlignment="1">
      <alignment horizontal="left" indent="1"/>
    </xf>
    <xf numFmtId="0" fontId="11" fillId="0" borderId="10" xfId="0" applyFont="1" applyFill="1" applyBorder="1" applyAlignment="1">
      <alignment horizontal="left" indent="1"/>
    </xf>
    <xf numFmtId="0" fontId="11" fillId="0" borderId="16" xfId="0" applyFont="1" applyFill="1" applyBorder="1" applyAlignment="1">
      <alignment horizontal="left" indent="1"/>
    </xf>
    <xf numFmtId="0" fontId="11" fillId="0" borderId="6" xfId="0" applyFont="1" applyFill="1" applyBorder="1" applyAlignment="1">
      <alignment horizontal="left" indent="1"/>
    </xf>
    <xf numFmtId="0" fontId="22" fillId="5" borderId="39" xfId="0" applyFont="1" applyFill="1" applyBorder="1" applyAlignment="1">
      <alignment horizontal="center" vertical="center" textRotation="90"/>
    </xf>
    <xf numFmtId="0" fontId="22" fillId="5" borderId="7" xfId="0" applyFont="1" applyFill="1" applyBorder="1" applyAlignment="1">
      <alignment horizontal="center" vertical="center" textRotation="90"/>
    </xf>
    <xf numFmtId="0" fontId="22" fillId="5" borderId="42" xfId="0" applyFont="1" applyFill="1" applyBorder="1" applyAlignment="1">
      <alignment horizontal="center" vertical="center" textRotation="90"/>
    </xf>
    <xf numFmtId="0" fontId="10" fillId="0" borderId="39" xfId="0" applyFont="1" applyBorder="1" applyAlignment="1">
      <alignment horizontal="left" vertical="center"/>
    </xf>
    <xf numFmtId="0" fontId="10" fillId="0" borderId="40" xfId="0" applyFont="1" applyBorder="1" applyAlignment="1">
      <alignment horizontal="left" vertical="center"/>
    </xf>
    <xf numFmtId="0" fontId="10" fillId="0" borderId="41" xfId="0" applyFont="1" applyBorder="1" applyAlignment="1">
      <alignment horizontal="left" vertical="center"/>
    </xf>
    <xf numFmtId="0" fontId="10" fillId="0" borderId="7" xfId="0" applyFont="1" applyBorder="1" applyAlignment="1">
      <alignment horizontal="left" vertical="center"/>
    </xf>
    <xf numFmtId="0" fontId="10" fillId="0" borderId="0" xfId="0" applyFont="1" applyBorder="1" applyAlignment="1">
      <alignment horizontal="left" vertical="center"/>
    </xf>
    <xf numFmtId="0" fontId="10" fillId="0" borderId="16" xfId="0" applyFont="1" applyBorder="1" applyAlignment="1">
      <alignment horizontal="left" vertical="center"/>
    </xf>
    <xf numFmtId="49" fontId="13" fillId="0" borderId="25" xfId="0" applyNumberFormat="1" applyFont="1" applyFill="1" applyBorder="1" applyAlignment="1">
      <alignment horizontal="left" indent="1"/>
    </xf>
    <xf numFmtId="49" fontId="13" fillId="0" borderId="26" xfId="0" applyNumberFormat="1" applyFont="1" applyFill="1" applyBorder="1" applyAlignment="1">
      <alignment horizontal="left" indent="1"/>
    </xf>
    <xf numFmtId="49" fontId="13" fillId="0" borderId="28" xfId="0" applyNumberFormat="1" applyFont="1" applyFill="1" applyBorder="1" applyAlignment="1">
      <alignment horizontal="left" indent="1"/>
    </xf>
    <xf numFmtId="49" fontId="13" fillId="0" borderId="16" xfId="0" applyNumberFormat="1" applyFont="1" applyFill="1" applyBorder="1" applyAlignment="1">
      <alignment horizontal="left" indent="1"/>
    </xf>
    <xf numFmtId="164" fontId="14" fillId="0" borderId="22" xfId="0" applyNumberFormat="1" applyFont="1" applyFill="1" applyBorder="1" applyAlignment="1">
      <alignment horizontal="left" vertical="top" indent="1"/>
    </xf>
    <xf numFmtId="164" fontId="14" fillId="0" borderId="27" xfId="0" applyNumberFormat="1" applyFont="1" applyFill="1" applyBorder="1" applyAlignment="1">
      <alignment horizontal="left" vertical="top" indent="1"/>
    </xf>
    <xf numFmtId="49" fontId="13" fillId="0" borderId="25" xfId="0" applyNumberFormat="1" applyFont="1" applyFill="1" applyBorder="1" applyAlignment="1">
      <alignment horizontal="left" vertical="center" indent="1"/>
    </xf>
    <xf numFmtId="49" fontId="13" fillId="0" borderId="28" xfId="0" applyNumberFormat="1" applyFont="1" applyFill="1" applyBorder="1" applyAlignment="1">
      <alignment horizontal="left" vertical="center" indent="1"/>
    </xf>
    <xf numFmtId="0" fontId="16" fillId="0" borderId="3" xfId="0" applyFont="1" applyBorder="1" applyAlignment="1">
      <alignment horizontal="left"/>
    </xf>
    <xf numFmtId="0" fontId="16" fillId="0" borderId="18" xfId="0" applyFont="1" applyBorder="1" applyAlignment="1">
      <alignment horizontal="left"/>
    </xf>
    <xf numFmtId="0" fontId="14" fillId="0" borderId="27" xfId="0" applyFont="1" applyFill="1" applyBorder="1" applyAlignment="1">
      <alignment horizontal="left" vertical="top" indent="1"/>
    </xf>
    <xf numFmtId="0" fontId="8" fillId="0" borderId="36" xfId="0" applyFont="1" applyBorder="1" applyAlignment="1">
      <alignment horizontal="right" vertical="center" textRotation="90"/>
    </xf>
    <xf numFmtId="0" fontId="8" fillId="0" borderId="29" xfId="0" applyFont="1" applyBorder="1" applyAlignment="1">
      <alignment horizontal="right" vertical="center" textRotation="90"/>
    </xf>
    <xf numFmtId="0" fontId="15" fillId="0" borderId="22" xfId="0" applyFont="1" applyFill="1" applyBorder="1" applyAlignment="1">
      <alignment horizontal="left" vertical="top" indent="1"/>
    </xf>
    <xf numFmtId="0" fontId="15" fillId="0" borderId="27" xfId="0" applyFont="1" applyFill="1" applyBorder="1" applyAlignment="1">
      <alignment horizontal="left" vertical="top" indent="1"/>
    </xf>
    <xf numFmtId="164" fontId="17" fillId="0" borderId="5" xfId="0" applyNumberFormat="1" applyFont="1" applyFill="1" applyBorder="1" applyAlignment="1">
      <alignment horizontal="left"/>
    </xf>
    <xf numFmtId="164" fontId="17" fillId="0" borderId="20" xfId="0" applyNumberFormat="1" applyFont="1" applyFill="1" applyBorder="1" applyAlignment="1">
      <alignment horizontal="left"/>
    </xf>
    <xf numFmtId="0" fontId="16" fillId="0" borderId="5" xfId="0" applyFont="1" applyBorder="1" applyAlignment="1">
      <alignment horizontal="left"/>
    </xf>
    <xf numFmtId="0" fontId="16" fillId="0" borderId="20" xfId="0" applyFont="1" applyBorder="1" applyAlignment="1">
      <alignment horizontal="left"/>
    </xf>
    <xf numFmtId="0" fontId="16" fillId="0" borderId="17" xfId="0" applyFont="1" applyBorder="1" applyAlignment="1">
      <alignment horizontal="left"/>
    </xf>
    <xf numFmtId="0" fontId="16" fillId="0" borderId="19" xfId="0" applyFont="1" applyBorder="1" applyAlignment="1">
      <alignment horizontal="left"/>
    </xf>
    <xf numFmtId="0" fontId="14" fillId="0" borderId="12" xfId="0" applyFont="1" applyFill="1" applyBorder="1" applyAlignment="1">
      <alignment horizontal="left" vertical="top" indent="1"/>
    </xf>
    <xf numFmtId="0" fontId="14" fillId="0" borderId="13" xfId="0" applyFont="1" applyFill="1" applyBorder="1" applyAlignment="1">
      <alignment horizontal="left" vertical="top" indent="1"/>
    </xf>
    <xf numFmtId="49" fontId="15" fillId="0" borderId="25" xfId="0" applyNumberFormat="1" applyFont="1" applyFill="1" applyBorder="1" applyAlignment="1">
      <alignment horizontal="left" indent="1"/>
    </xf>
    <xf numFmtId="49" fontId="15" fillId="0" borderId="28" xfId="0" applyNumberFormat="1" applyFont="1" applyFill="1" applyBorder="1" applyAlignment="1">
      <alignment horizontal="left" indent="1"/>
    </xf>
    <xf numFmtId="164" fontId="14" fillId="0" borderId="12" xfId="0" applyNumberFormat="1" applyFont="1" applyFill="1" applyBorder="1" applyAlignment="1">
      <alignment horizontal="left" vertical="top" indent="1"/>
    </xf>
    <xf numFmtId="164" fontId="14" fillId="0" borderId="15" xfId="0" applyNumberFormat="1" applyFont="1" applyFill="1" applyBorder="1" applyAlignment="1">
      <alignment horizontal="left" vertical="top" indent="1"/>
    </xf>
    <xf numFmtId="0" fontId="21" fillId="0" borderId="10" xfId="0" applyFont="1" applyFill="1" applyBorder="1" applyAlignment="1">
      <alignment horizontal="center" vertical="top"/>
    </xf>
    <xf numFmtId="0" fontId="14" fillId="0" borderId="0" xfId="0" applyFont="1" applyFill="1" applyBorder="1" applyAlignment="1">
      <alignment horizontal="center" vertical="top"/>
    </xf>
    <xf numFmtId="0" fontId="14" fillId="0" borderId="6" xfId="0" applyFont="1" applyFill="1" applyBorder="1" applyAlignment="1">
      <alignment horizontal="center" vertical="top"/>
    </xf>
    <xf numFmtId="0" fontId="14" fillId="0" borderId="10" xfId="0" applyFont="1" applyFill="1" applyBorder="1" applyAlignment="1">
      <alignment horizontal="center" vertical="top"/>
    </xf>
    <xf numFmtId="0" fontId="14" fillId="0" borderId="22" xfId="0" applyFont="1" applyFill="1" applyBorder="1" applyAlignment="1">
      <alignment horizontal="center" vertical="top"/>
    </xf>
    <xf numFmtId="0" fontId="14" fillId="0" borderId="46" xfId="0" applyFont="1" applyFill="1" applyBorder="1" applyAlignment="1">
      <alignment horizontal="center" vertical="top"/>
    </xf>
    <xf numFmtId="0" fontId="14" fillId="0" borderId="23" xfId="0" applyFont="1" applyFill="1" applyBorder="1" applyAlignment="1">
      <alignment horizontal="center" vertical="top"/>
    </xf>
    <xf numFmtId="0" fontId="23" fillId="0" borderId="33" xfId="0" applyFont="1" applyBorder="1" applyAlignment="1">
      <alignment horizontal="left" vertical="center" indent="2"/>
    </xf>
    <xf numFmtId="0" fontId="23" fillId="0" borderId="34" xfId="0" applyFont="1" applyBorder="1" applyAlignment="1">
      <alignment horizontal="left" vertical="center" indent="2"/>
    </xf>
    <xf numFmtId="0" fontId="23" fillId="0" borderId="30" xfId="0" applyFont="1" applyBorder="1" applyAlignment="1">
      <alignment horizontal="left" vertical="center" indent="2"/>
    </xf>
    <xf numFmtId="0" fontId="23" fillId="0" borderId="31" xfId="0" applyFont="1" applyBorder="1" applyAlignment="1">
      <alignment horizontal="left" vertical="center" indent="2"/>
    </xf>
    <xf numFmtId="0" fontId="8" fillId="0" borderId="33" xfId="0" applyFont="1" applyBorder="1" applyAlignment="1">
      <alignment horizontal="right" vertical="center" textRotation="90"/>
    </xf>
    <xf numFmtId="0" fontId="16" fillId="0" borderId="37" xfId="0" applyFont="1" applyBorder="1" applyAlignment="1">
      <alignment horizontal="left"/>
    </xf>
    <xf numFmtId="0" fontId="16" fillId="0" borderId="38" xfId="0" applyFont="1" applyBorder="1" applyAlignment="1">
      <alignment horizontal="left"/>
    </xf>
    <xf numFmtId="0" fontId="12" fillId="0" borderId="35" xfId="0" applyFont="1" applyFill="1" applyBorder="1" applyAlignment="1">
      <alignment vertical="center"/>
    </xf>
    <xf numFmtId="0" fontId="12" fillId="0" borderId="32" xfId="0" applyFont="1" applyFill="1" applyBorder="1" applyAlignment="1">
      <alignment vertical="center"/>
    </xf>
    <xf numFmtId="0" fontId="8" fillId="0" borderId="36" xfId="0" applyFont="1" applyBorder="1" applyAlignment="1">
      <alignment vertical="center" textRotation="90"/>
    </xf>
    <xf numFmtId="0" fontId="8" fillId="0" borderId="29" xfId="0" applyFont="1" applyBorder="1" applyAlignment="1">
      <alignment vertical="center" textRotation="90"/>
    </xf>
    <xf numFmtId="49" fontId="13" fillId="0" borderId="10" xfId="0" applyNumberFormat="1" applyFont="1" applyFill="1" applyBorder="1" applyAlignment="1">
      <alignment horizontal="left" vertical="center" indent="1"/>
    </xf>
    <xf numFmtId="49" fontId="13" fillId="0" borderId="16" xfId="0" applyNumberFormat="1" applyFont="1" applyFill="1" applyBorder="1" applyAlignment="1">
      <alignment horizontal="left" vertical="center" indent="1"/>
    </xf>
    <xf numFmtId="49" fontId="15" fillId="0" borderId="10" xfId="0" applyNumberFormat="1" applyFont="1" applyFill="1" applyBorder="1" applyAlignment="1">
      <alignment horizontal="left" indent="1"/>
    </xf>
    <xf numFmtId="49" fontId="15" fillId="0" borderId="16" xfId="0" applyNumberFormat="1" applyFont="1" applyFill="1" applyBorder="1" applyAlignment="1">
      <alignment horizontal="left" indent="1"/>
    </xf>
    <xf numFmtId="0" fontId="10" fillId="0" borderId="0" xfId="0" applyFont="1" applyAlignment="1">
      <alignment horizontal="left" vertical="center"/>
    </xf>
    <xf numFmtId="0" fontId="24" fillId="6" borderId="39" xfId="0" applyFont="1" applyFill="1" applyBorder="1" applyAlignment="1">
      <alignment horizontal="center" vertical="center" textRotation="90"/>
    </xf>
    <xf numFmtId="0" fontId="24" fillId="6" borderId="7" xfId="0" applyFont="1" applyFill="1" applyBorder="1" applyAlignment="1">
      <alignment horizontal="center" vertical="center" textRotation="90"/>
    </xf>
    <xf numFmtId="0" fontId="24" fillId="6" borderId="42" xfId="0" applyFont="1" applyFill="1" applyBorder="1" applyAlignment="1">
      <alignment horizontal="center" vertical="center" textRotation="90"/>
    </xf>
    <xf numFmtId="0" fontId="25" fillId="0" borderId="33" xfId="0" applyFont="1" applyBorder="1" applyAlignment="1">
      <alignment horizontal="left" vertical="center" indent="2"/>
    </xf>
    <xf numFmtId="0" fontId="25" fillId="0" borderId="34" xfId="0" applyFont="1" applyBorder="1" applyAlignment="1">
      <alignment horizontal="left" vertical="center" indent="2"/>
    </xf>
    <xf numFmtId="0" fontId="25" fillId="0" borderId="30" xfId="0" applyFont="1" applyBorder="1" applyAlignment="1">
      <alignment horizontal="left" vertical="center" indent="2"/>
    </xf>
    <xf numFmtId="0" fontId="25" fillId="0" borderId="31" xfId="0" applyFont="1" applyBorder="1" applyAlignment="1">
      <alignment horizontal="left" vertical="center" indent="2"/>
    </xf>
    <xf numFmtId="0" fontId="26" fillId="8" borderId="39" xfId="0" applyFont="1" applyFill="1" applyBorder="1" applyAlignment="1">
      <alignment horizontal="center" vertical="center" textRotation="90"/>
    </xf>
    <xf numFmtId="0" fontId="26" fillId="8" borderId="7" xfId="0" applyFont="1" applyFill="1" applyBorder="1" applyAlignment="1">
      <alignment horizontal="center" vertical="center" textRotation="90"/>
    </xf>
    <xf numFmtId="0" fontId="26" fillId="8" borderId="42" xfId="0" applyFont="1" applyFill="1" applyBorder="1" applyAlignment="1">
      <alignment horizontal="center" vertical="center" textRotation="90"/>
    </xf>
    <xf numFmtId="0" fontId="27" fillId="0" borderId="33" xfId="0" applyFont="1" applyBorder="1" applyAlignment="1">
      <alignment horizontal="left" vertical="center" indent="2"/>
    </xf>
    <xf numFmtId="0" fontId="27" fillId="0" borderId="34" xfId="0" applyFont="1" applyBorder="1" applyAlignment="1">
      <alignment horizontal="left" vertical="center" indent="2"/>
    </xf>
    <xf numFmtId="0" fontId="27" fillId="0" borderId="30" xfId="0" applyFont="1" applyBorder="1" applyAlignment="1">
      <alignment horizontal="left" vertical="center" indent="2"/>
    </xf>
    <xf numFmtId="0" fontId="27" fillId="0" borderId="31" xfId="0" applyFont="1" applyBorder="1" applyAlignment="1">
      <alignment horizontal="left" vertical="center" indent="2"/>
    </xf>
    <xf numFmtId="0" fontId="20" fillId="0" borderId="7" xfId="0" applyFont="1" applyFill="1" applyBorder="1" applyAlignment="1">
      <alignment horizontal="left" vertical="top"/>
    </xf>
    <xf numFmtId="0" fontId="11" fillId="0" borderId="0" xfId="0" applyFont="1" applyFill="1" applyBorder="1" applyAlignment="1">
      <alignment horizontal="left" vertical="top"/>
    </xf>
    <xf numFmtId="0" fontId="11" fillId="0" borderId="16" xfId="0" applyFont="1" applyFill="1" applyBorder="1" applyAlignment="1">
      <alignment horizontal="left" vertical="top"/>
    </xf>
    <xf numFmtId="0" fontId="11" fillId="0" borderId="7" xfId="0" applyFont="1" applyFill="1" applyBorder="1" applyAlignment="1">
      <alignment horizontal="left" vertical="top"/>
    </xf>
    <xf numFmtId="0" fontId="11" fillId="0" borderId="45" xfId="0" applyFont="1" applyFill="1" applyBorder="1" applyAlignment="1">
      <alignment horizontal="left" vertical="top"/>
    </xf>
    <xf numFmtId="0" fontId="11" fillId="0" borderId="46" xfId="0" applyFont="1" applyFill="1" applyBorder="1" applyAlignment="1">
      <alignment horizontal="left" vertical="top"/>
    </xf>
    <xf numFmtId="0" fontId="11" fillId="0" borderId="27" xfId="0" applyFont="1" applyFill="1" applyBorder="1" applyAlignment="1">
      <alignment horizontal="left" vertical="top"/>
    </xf>
    <xf numFmtId="0" fontId="28" fillId="9" borderId="39" xfId="0" applyFont="1" applyFill="1" applyBorder="1" applyAlignment="1">
      <alignment horizontal="center" vertical="center" textRotation="90"/>
    </xf>
    <xf numFmtId="0" fontId="28" fillId="9" borderId="7" xfId="0" applyFont="1" applyFill="1" applyBorder="1" applyAlignment="1">
      <alignment horizontal="center" vertical="center" textRotation="90"/>
    </xf>
    <xf numFmtId="0" fontId="28" fillId="9" borderId="42" xfId="0" applyFont="1" applyFill="1" applyBorder="1" applyAlignment="1">
      <alignment horizontal="center" vertical="center" textRotation="90"/>
    </xf>
    <xf numFmtId="0" fontId="34" fillId="0" borderId="29" xfId="0" applyFont="1" applyBorder="1" applyAlignment="1">
      <alignment horizontal="left" vertical="center"/>
    </xf>
    <xf numFmtId="0" fontId="34" fillId="0" borderId="0" xfId="0" applyFont="1" applyBorder="1" applyAlignment="1">
      <alignment horizontal="left" vertical="center"/>
    </xf>
    <xf numFmtId="0" fontId="34" fillId="0" borderId="47" xfId="0" applyFont="1" applyBorder="1" applyAlignment="1">
      <alignment horizontal="left" vertical="center"/>
    </xf>
    <xf numFmtId="0" fontId="34" fillId="0" borderId="30" xfId="0" applyFont="1" applyBorder="1" applyAlignment="1">
      <alignment horizontal="left" vertical="center"/>
    </xf>
    <xf numFmtId="0" fontId="34" fillId="0" borderId="31" xfId="0" applyFont="1" applyBorder="1" applyAlignment="1">
      <alignment horizontal="left" vertical="center"/>
    </xf>
    <xf numFmtId="0" fontId="34" fillId="0" borderId="44" xfId="0" applyFont="1" applyBorder="1" applyAlignment="1">
      <alignment horizontal="left" vertical="center"/>
    </xf>
    <xf numFmtId="0" fontId="46" fillId="10" borderId="39" xfId="0" applyFont="1" applyFill="1" applyBorder="1" applyAlignment="1">
      <alignment horizontal="center" vertical="center" textRotation="90"/>
    </xf>
    <xf numFmtId="0" fontId="46" fillId="10" borderId="7" xfId="0" applyFont="1" applyFill="1" applyBorder="1" applyAlignment="1">
      <alignment horizontal="center" vertical="center" textRotation="90"/>
    </xf>
    <xf numFmtId="0" fontId="46" fillId="10" borderId="42" xfId="0" applyFont="1" applyFill="1" applyBorder="1" applyAlignment="1">
      <alignment horizontal="center" vertical="center" textRotation="90"/>
    </xf>
    <xf numFmtId="0" fontId="47" fillId="0" borderId="33" xfId="0" applyFont="1" applyBorder="1" applyAlignment="1">
      <alignment horizontal="left" vertical="center" indent="2"/>
    </xf>
    <xf numFmtId="0" fontId="47" fillId="0" borderId="34" xfId="0" applyFont="1" applyBorder="1" applyAlignment="1">
      <alignment horizontal="left" vertical="center" indent="2"/>
    </xf>
    <xf numFmtId="0" fontId="47" fillId="0" borderId="30" xfId="0" applyFont="1" applyBorder="1" applyAlignment="1">
      <alignment horizontal="left" vertical="center" indent="2"/>
    </xf>
    <xf numFmtId="0" fontId="47" fillId="0" borderId="31" xfId="0" applyFont="1" applyBorder="1" applyAlignment="1">
      <alignment horizontal="left" vertical="center" indent="2"/>
    </xf>
    <xf numFmtId="0" fontId="30" fillId="9" borderId="39" xfId="0" applyFont="1" applyFill="1" applyBorder="1" applyAlignment="1">
      <alignment horizontal="center" vertical="center" textRotation="90"/>
    </xf>
    <xf numFmtId="0" fontId="30" fillId="9" borderId="7" xfId="0" applyFont="1" applyFill="1" applyBorder="1" applyAlignment="1">
      <alignment horizontal="center" vertical="center" textRotation="90"/>
    </xf>
    <xf numFmtId="0" fontId="30" fillId="9" borderId="42" xfId="0" applyFont="1" applyFill="1" applyBorder="1" applyAlignment="1">
      <alignment horizontal="center" vertical="center" textRotation="90"/>
    </xf>
    <xf numFmtId="0" fontId="35" fillId="0" borderId="33" xfId="0" applyFont="1" applyBorder="1" applyAlignment="1">
      <alignment horizontal="left" vertical="center" indent="2"/>
    </xf>
    <xf numFmtId="0" fontId="35" fillId="0" borderId="34" xfId="0" applyFont="1" applyBorder="1" applyAlignment="1">
      <alignment horizontal="left" vertical="center" indent="2"/>
    </xf>
    <xf numFmtId="0" fontId="35" fillId="0" borderId="30" xfId="0" applyFont="1" applyBorder="1" applyAlignment="1">
      <alignment horizontal="left" vertical="center" indent="2"/>
    </xf>
    <xf numFmtId="0" fontId="35" fillId="0" borderId="31" xfId="0" applyFont="1" applyBorder="1" applyAlignment="1">
      <alignment horizontal="left" vertical="center" indent="2"/>
    </xf>
    <xf numFmtId="0" fontId="31" fillId="6" borderId="39" xfId="0" applyFont="1" applyFill="1" applyBorder="1" applyAlignment="1">
      <alignment horizontal="center" vertical="center" textRotation="90"/>
    </xf>
    <xf numFmtId="0" fontId="31" fillId="6" borderId="7" xfId="0" applyFont="1" applyFill="1" applyBorder="1" applyAlignment="1">
      <alignment horizontal="center" vertical="center" textRotation="90"/>
    </xf>
    <xf numFmtId="0" fontId="31" fillId="6" borderId="42" xfId="0" applyFont="1" applyFill="1" applyBorder="1" applyAlignment="1">
      <alignment horizontal="center" vertical="center" textRotation="90"/>
    </xf>
    <xf numFmtId="0" fontId="36" fillId="0" borderId="33" xfId="0" applyFont="1" applyBorder="1" applyAlignment="1">
      <alignment horizontal="left" vertical="center" indent="2"/>
    </xf>
    <xf numFmtId="0" fontId="36" fillId="0" borderId="34" xfId="0" applyFont="1" applyBorder="1" applyAlignment="1">
      <alignment horizontal="left" vertical="center" indent="2"/>
    </xf>
    <xf numFmtId="0" fontId="36" fillId="0" borderId="30" xfId="0" applyFont="1" applyBorder="1" applyAlignment="1">
      <alignment horizontal="left" vertical="center" indent="2"/>
    </xf>
    <xf numFmtId="0" fontId="36" fillId="0" borderId="31" xfId="0" applyFont="1" applyBorder="1" applyAlignment="1">
      <alignment horizontal="left" vertical="center" indent="2"/>
    </xf>
    <xf numFmtId="0" fontId="32" fillId="10" borderId="39" xfId="0" applyFont="1" applyFill="1" applyBorder="1" applyAlignment="1">
      <alignment horizontal="center" vertical="center" textRotation="90"/>
    </xf>
    <xf numFmtId="0" fontId="32" fillId="10" borderId="7" xfId="0" applyFont="1" applyFill="1" applyBorder="1" applyAlignment="1">
      <alignment horizontal="center" vertical="center" textRotation="90"/>
    </xf>
    <xf numFmtId="0" fontId="32" fillId="10" borderId="42" xfId="0" applyFont="1" applyFill="1" applyBorder="1" applyAlignment="1">
      <alignment horizontal="center" vertical="center" textRotation="90"/>
    </xf>
    <xf numFmtId="0" fontId="33" fillId="0" borderId="33" xfId="0" applyFont="1" applyBorder="1" applyAlignment="1">
      <alignment horizontal="left" vertical="center" indent="2"/>
    </xf>
    <xf numFmtId="0" fontId="33" fillId="0" borderId="34" xfId="0" applyFont="1" applyBorder="1" applyAlignment="1">
      <alignment horizontal="left" vertical="center" indent="2"/>
    </xf>
    <xf numFmtId="0" fontId="33" fillId="0" borderId="30" xfId="0" applyFont="1" applyBorder="1" applyAlignment="1">
      <alignment horizontal="left" vertical="center" indent="2"/>
    </xf>
    <xf numFmtId="0" fontId="33" fillId="0" borderId="31" xfId="0" applyFont="1" applyBorder="1" applyAlignment="1">
      <alignment horizontal="left" vertical="center" indent="2"/>
    </xf>
    <xf numFmtId="0" fontId="37" fillId="9" borderId="39" xfId="0" applyFont="1" applyFill="1" applyBorder="1" applyAlignment="1">
      <alignment horizontal="center" vertical="center" textRotation="90"/>
    </xf>
    <xf numFmtId="0" fontId="37" fillId="9" borderId="7" xfId="0" applyFont="1" applyFill="1" applyBorder="1" applyAlignment="1">
      <alignment horizontal="center" vertical="center" textRotation="90"/>
    </xf>
    <xf numFmtId="0" fontId="37" fillId="9" borderId="42" xfId="0" applyFont="1" applyFill="1" applyBorder="1" applyAlignment="1">
      <alignment horizontal="center" vertical="center" textRotation="90"/>
    </xf>
    <xf numFmtId="0" fontId="38" fillId="0" borderId="33" xfId="0" applyFont="1" applyBorder="1" applyAlignment="1">
      <alignment horizontal="left" vertical="center" indent="2"/>
    </xf>
    <xf numFmtId="0" fontId="38" fillId="0" borderId="34" xfId="0" applyFont="1" applyBorder="1" applyAlignment="1">
      <alignment horizontal="left" vertical="center" indent="2"/>
    </xf>
    <xf numFmtId="0" fontId="38" fillId="0" borderId="30" xfId="0" applyFont="1" applyBorder="1" applyAlignment="1">
      <alignment horizontal="left" vertical="center" indent="2"/>
    </xf>
    <xf numFmtId="0" fontId="38" fillId="0" borderId="31" xfId="0" applyFont="1" applyBorder="1" applyAlignment="1">
      <alignment horizontal="left" vertical="center" indent="2"/>
    </xf>
    <xf numFmtId="0" fontId="49" fillId="0" borderId="37" xfId="0" applyFont="1" applyBorder="1" applyAlignment="1">
      <alignment horizontal="left"/>
    </xf>
    <xf numFmtId="0" fontId="49" fillId="0" borderId="38" xfId="0" applyFont="1" applyBorder="1" applyAlignment="1">
      <alignment horizontal="left"/>
    </xf>
    <xf numFmtId="0" fontId="39" fillId="10" borderId="39" xfId="0" applyFont="1" applyFill="1" applyBorder="1" applyAlignment="1">
      <alignment horizontal="center" vertical="center" textRotation="90"/>
    </xf>
    <xf numFmtId="0" fontId="39" fillId="10" borderId="7" xfId="0" applyFont="1" applyFill="1" applyBorder="1" applyAlignment="1">
      <alignment horizontal="center" vertical="center" textRotation="90"/>
    </xf>
    <xf numFmtId="0" fontId="39" fillId="10" borderId="42" xfId="0" applyFont="1" applyFill="1" applyBorder="1" applyAlignment="1">
      <alignment horizontal="center" vertical="center" textRotation="90"/>
    </xf>
    <xf numFmtId="0" fontId="40" fillId="0" borderId="33" xfId="0" applyFont="1" applyBorder="1" applyAlignment="1">
      <alignment horizontal="left" vertical="center" indent="2"/>
    </xf>
    <xf numFmtId="0" fontId="40" fillId="0" borderId="34" xfId="0" applyFont="1" applyBorder="1" applyAlignment="1">
      <alignment horizontal="left" vertical="center" indent="2"/>
    </xf>
    <xf numFmtId="0" fontId="40" fillId="0" borderId="30" xfId="0" applyFont="1" applyBorder="1" applyAlignment="1">
      <alignment horizontal="left" vertical="center" indent="2"/>
    </xf>
    <xf numFmtId="0" fontId="40" fillId="0" borderId="31" xfId="0" applyFont="1" applyBorder="1" applyAlignment="1">
      <alignment horizontal="left" vertical="center" indent="2"/>
    </xf>
    <xf numFmtId="0" fontId="41" fillId="11" borderId="39" xfId="0" applyFont="1" applyFill="1" applyBorder="1" applyAlignment="1">
      <alignment horizontal="center" vertical="center" textRotation="90"/>
    </xf>
    <xf numFmtId="0" fontId="41" fillId="11" borderId="7" xfId="0" applyFont="1" applyFill="1" applyBorder="1" applyAlignment="1">
      <alignment horizontal="center" vertical="center" textRotation="90"/>
    </xf>
    <xf numFmtId="0" fontId="41" fillId="11" borderId="42" xfId="0" applyFont="1" applyFill="1" applyBorder="1" applyAlignment="1">
      <alignment horizontal="center" vertical="center" textRotation="90"/>
    </xf>
    <xf numFmtId="0" fontId="42" fillId="0" borderId="33" xfId="0" applyFont="1" applyBorder="1" applyAlignment="1">
      <alignment horizontal="left" vertical="center" indent="2"/>
    </xf>
    <xf numFmtId="0" fontId="42" fillId="0" borderId="34" xfId="0" applyFont="1" applyBorder="1" applyAlignment="1">
      <alignment horizontal="left" vertical="center" indent="2"/>
    </xf>
    <xf numFmtId="0" fontId="42" fillId="0" borderId="30" xfId="0" applyFont="1" applyBorder="1" applyAlignment="1">
      <alignment horizontal="left" vertical="center" indent="2"/>
    </xf>
    <xf numFmtId="0" fontId="42" fillId="0" borderId="31" xfId="0" applyFont="1" applyBorder="1" applyAlignment="1">
      <alignment horizontal="left" vertical="center" indent="2"/>
    </xf>
    <xf numFmtId="0" fontId="43" fillId="7" borderId="39" xfId="0" applyFont="1" applyFill="1" applyBorder="1" applyAlignment="1">
      <alignment horizontal="center" vertical="center" textRotation="90"/>
    </xf>
    <xf numFmtId="0" fontId="43" fillId="7" borderId="7" xfId="0" applyFont="1" applyFill="1" applyBorder="1" applyAlignment="1">
      <alignment horizontal="center" vertical="center" textRotation="90"/>
    </xf>
    <xf numFmtId="0" fontId="43" fillId="7" borderId="42" xfId="0" applyFont="1" applyFill="1" applyBorder="1" applyAlignment="1">
      <alignment horizontal="center" vertical="center" textRotation="90"/>
    </xf>
    <xf numFmtId="0" fontId="44" fillId="0" borderId="33" xfId="0" applyFont="1" applyBorder="1" applyAlignment="1">
      <alignment horizontal="left" vertical="center" indent="2"/>
    </xf>
    <xf numFmtId="0" fontId="44" fillId="0" borderId="34" xfId="0" applyFont="1" applyBorder="1" applyAlignment="1">
      <alignment horizontal="left" vertical="center" indent="2"/>
    </xf>
    <xf numFmtId="0" fontId="44" fillId="0" borderId="30" xfId="0" applyFont="1" applyBorder="1" applyAlignment="1">
      <alignment horizontal="left" vertical="center" indent="2"/>
    </xf>
    <xf numFmtId="0" fontId="44" fillId="0" borderId="31" xfId="0" applyFont="1" applyBorder="1" applyAlignment="1">
      <alignment horizontal="left" vertical="center" indent="2"/>
    </xf>
  </cellXfs>
  <cellStyles count="5">
    <cellStyle name="40% - Accent1 2" xfId="3"/>
    <cellStyle name="Accent1 2" xfId="2"/>
    <cellStyle name="Heading 1 2" xfId="4"/>
    <cellStyle name="Normal" xfId="0" builtinId="0" customBuiltin="1"/>
    <cellStyle name="Normal 2" xfId="1"/>
  </cellStyles>
  <dxfs count="59">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ill>
        <patternFill>
          <bgColor theme="4" tint="0.79998168889431442"/>
        </patternFill>
      </fill>
    </dxf>
    <dxf>
      <font>
        <b/>
        <i val="0"/>
        <color theme="1"/>
      </font>
      <fill>
        <patternFill patternType="solid">
          <bgColor theme="4" tint="0.79998168889431442"/>
        </patternFill>
      </fill>
      <border>
        <left/>
        <right/>
        <top/>
        <bottom/>
        <vertical/>
        <horizontal/>
      </border>
    </dxf>
    <dxf>
      <font>
        <color theme="0" tint="-0.24994659260841701"/>
      </font>
    </dxf>
    <dxf>
      <font>
        <color theme="0" tint="-0.24994659260841701"/>
      </font>
    </dxf>
    <dxf>
      <font>
        <b/>
        <color theme="1"/>
      </font>
      <border diagonalUp="0" diagonalDown="0">
        <left/>
        <right/>
        <top/>
        <bottom/>
        <vertical/>
        <horizontal/>
      </border>
    </dxf>
    <dxf>
      <font>
        <b/>
        <color theme="1"/>
      </font>
      <border>
        <top style="double">
          <color theme="6" tint="-0.24994659260841701"/>
        </top>
      </border>
    </dxf>
    <dxf>
      <font>
        <color theme="0"/>
      </font>
      <fill>
        <patternFill patternType="solid">
          <fgColor theme="4"/>
          <bgColor theme="7"/>
        </patternFill>
      </fill>
      <border diagonalUp="0" diagonalDown="0">
        <left/>
        <right/>
        <top/>
        <bottom/>
        <vertical/>
        <horizontal/>
      </border>
    </dxf>
    <dxf>
      <font>
        <color theme="1"/>
      </font>
      <fill>
        <patternFill>
          <bgColor theme="0"/>
        </patternFill>
      </fill>
      <border>
        <left style="thin">
          <color theme="9" tint="0.59996337778862885"/>
        </left>
        <right style="thin">
          <color theme="9" tint="0.59996337778862885"/>
        </right>
        <top style="thin">
          <color theme="9" tint="0.59996337778862885"/>
        </top>
        <bottom style="thin">
          <color theme="9" tint="0.59996337778862885"/>
        </bottom>
        <vertical/>
        <horizontal style="dashDotDot">
          <color theme="9" tint="0.59996337778862885"/>
        </horizontal>
      </border>
    </dxf>
    <dxf>
      <fill>
        <patternFill patternType="solid">
          <fgColor theme="9" tint="0.79998168889431442"/>
          <bgColor theme="9" tint="0.79998168889431442"/>
        </patternFill>
      </fill>
    </dxf>
    <dxf>
      <fill>
        <patternFill patternType="solid">
          <fgColor theme="9" tint="0.79998168889431442"/>
          <bgColor theme="9" tint="0.79998168889431442"/>
        </patternFill>
      </fill>
    </dxf>
    <dxf>
      <font>
        <b/>
        <color theme="9" tint="-0.249977111117893"/>
      </font>
    </dxf>
    <dxf>
      <font>
        <b/>
        <color theme="9" tint="-0.249977111117893"/>
      </font>
    </dxf>
    <dxf>
      <font>
        <b/>
        <color theme="9" tint="-0.249977111117893"/>
      </font>
      <border>
        <top style="thin">
          <color theme="9"/>
        </top>
      </border>
    </dxf>
    <dxf>
      <font>
        <b/>
        <color theme="9" tint="-0.249977111117893"/>
      </font>
      <border>
        <bottom style="thin">
          <color theme="9"/>
        </bottom>
      </border>
    </dxf>
    <dxf>
      <font>
        <color theme="9" tint="-0.249977111117893"/>
      </font>
      <fill>
        <patternFill>
          <bgColor theme="0"/>
        </patternFill>
      </fill>
      <border>
        <top style="thin">
          <color theme="9"/>
        </top>
        <bottom style="thin">
          <color theme="9"/>
        </bottom>
      </border>
    </dxf>
  </dxfs>
  <tableStyles count="2" defaultTableStyle="TableStyleMedium2" defaultPivotStyle="PivotStyleLight16">
    <tableStyle name="TableStyleLight7 2" pivot="0" count="7">
      <tableStyleElement type="wholeTable" dxfId="58"/>
      <tableStyleElement type="headerRow" dxfId="57"/>
      <tableStyleElement type="totalRow" dxfId="56"/>
      <tableStyleElement type="firstColumn" dxfId="55"/>
      <tableStyleElement type="lastColumn" dxfId="54"/>
      <tableStyleElement type="firstRowStripe" dxfId="53"/>
      <tableStyleElement type="firstColumnStripe" dxfId="52"/>
    </tableStyle>
    <tableStyle name="TableStyleLight9 2" pivot="0" count="4">
      <tableStyleElement type="wholeTable" dxfId="51"/>
      <tableStyleElement type="headerRow" dxfId="50"/>
      <tableStyleElement type="totalRow" dxfId="49"/>
      <tableStyleElement type="firstColumn" dxfId="48"/>
    </tableStyle>
  </tableStyles>
  <colors>
    <mruColors>
      <color rgb="FF69A12B"/>
      <color rgb="FF950F95"/>
      <color rgb="FF0042A2"/>
      <color rgb="FF462300"/>
      <color rgb="FF336600"/>
      <color rgb="FF003300"/>
      <color rgb="FF517D21"/>
      <color rgb="FF007400"/>
      <color rgb="FFDCF0C6"/>
      <color rgb="FFD1FFD1"/>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trlProps/ctrlProp1.xml><?xml version="1.0" encoding="utf-8"?>
<formControlPr xmlns="http://schemas.microsoft.com/office/spreadsheetml/2009/9/main" objectType="Spin" dx="16" fmlaLink="$N$2" max="2999" min="1900" page="10" val="2016"/>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gif"/><Relationship Id="rId1" Type="http://schemas.openxmlformats.org/officeDocument/2006/relationships/image" Target="../media/image1.png"/><Relationship Id="rId5" Type="http://schemas.openxmlformats.org/officeDocument/2006/relationships/image" Target="../media/image5.jpe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2.gif"/><Relationship Id="rId1" Type="http://schemas.openxmlformats.org/officeDocument/2006/relationships/image" Target="../media/image6.png"/><Relationship Id="rId6" Type="http://schemas.openxmlformats.org/officeDocument/2006/relationships/image" Target="../media/image9.png"/><Relationship Id="rId5" Type="http://schemas.openxmlformats.org/officeDocument/2006/relationships/image" Target="../media/image8.gif"/><Relationship Id="rId4" Type="http://schemas.openxmlformats.org/officeDocument/2006/relationships/image" Target="../media/image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9.png"/><Relationship Id="rId7" Type="http://schemas.openxmlformats.org/officeDocument/2006/relationships/image" Target="../media/image11.png"/><Relationship Id="rId2" Type="http://schemas.openxmlformats.org/officeDocument/2006/relationships/image" Target="../media/image8.gif"/><Relationship Id="rId1" Type="http://schemas.openxmlformats.org/officeDocument/2006/relationships/image" Target="../media/image6.png"/><Relationship Id="rId6" Type="http://schemas.openxmlformats.org/officeDocument/2006/relationships/image" Target="../media/image10.png"/><Relationship Id="rId5" Type="http://schemas.openxmlformats.org/officeDocument/2006/relationships/image" Target="../media/image7.png"/><Relationship Id="rId10" Type="http://schemas.openxmlformats.org/officeDocument/2006/relationships/image" Target="../media/image14.jpeg"/><Relationship Id="rId4" Type="http://schemas.openxmlformats.org/officeDocument/2006/relationships/image" Target="../media/image2.gif"/><Relationship Id="rId9"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6.jpeg"/><Relationship Id="rId3" Type="http://schemas.openxmlformats.org/officeDocument/2006/relationships/image" Target="../media/image10.png"/><Relationship Id="rId7"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15.jpeg"/><Relationship Id="rId6" Type="http://schemas.openxmlformats.org/officeDocument/2006/relationships/image" Target="../media/image9.png"/><Relationship Id="rId5" Type="http://schemas.openxmlformats.org/officeDocument/2006/relationships/image" Target="../media/image2.gif"/><Relationship Id="rId4" Type="http://schemas.openxmlformats.org/officeDocument/2006/relationships/image" Target="../media/image8.gif"/></Relationships>
</file>

<file path=xl/drawings/_rels/drawing5.xml.rels><?xml version="1.0" encoding="UTF-8" standalone="yes"?>
<Relationships xmlns="http://schemas.openxmlformats.org/package/2006/relationships"><Relationship Id="rId8" Type="http://schemas.openxmlformats.org/officeDocument/2006/relationships/image" Target="../media/image18.jpeg"/><Relationship Id="rId13" Type="http://schemas.openxmlformats.org/officeDocument/2006/relationships/image" Target="../media/image23.jpeg"/><Relationship Id="rId3" Type="http://schemas.openxmlformats.org/officeDocument/2006/relationships/image" Target="../media/image8.gif"/><Relationship Id="rId7" Type="http://schemas.openxmlformats.org/officeDocument/2006/relationships/image" Target="../media/image17.jpeg"/><Relationship Id="rId12" Type="http://schemas.openxmlformats.org/officeDocument/2006/relationships/image" Target="../media/image22.jpeg"/><Relationship Id="rId2" Type="http://schemas.openxmlformats.org/officeDocument/2006/relationships/image" Target="../media/image10.png"/><Relationship Id="rId1" Type="http://schemas.openxmlformats.org/officeDocument/2006/relationships/image" Target="../media/image6.png"/><Relationship Id="rId6" Type="http://schemas.openxmlformats.org/officeDocument/2006/relationships/image" Target="../media/image2.gif"/><Relationship Id="rId11" Type="http://schemas.openxmlformats.org/officeDocument/2006/relationships/image" Target="../media/image21.jpeg"/><Relationship Id="rId5" Type="http://schemas.openxmlformats.org/officeDocument/2006/relationships/image" Target="../media/image7.png"/><Relationship Id="rId10" Type="http://schemas.openxmlformats.org/officeDocument/2006/relationships/image" Target="../media/image20.jpeg"/><Relationship Id="rId4" Type="http://schemas.openxmlformats.org/officeDocument/2006/relationships/image" Target="../media/image9.png"/><Relationship Id="rId9" Type="http://schemas.openxmlformats.org/officeDocument/2006/relationships/image" Target="../media/image1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8.gif"/><Relationship Id="rId7" Type="http://schemas.openxmlformats.org/officeDocument/2006/relationships/image" Target="../media/image27.png"/><Relationship Id="rId2" Type="http://schemas.openxmlformats.org/officeDocument/2006/relationships/image" Target="../media/image25.png"/><Relationship Id="rId1" Type="http://schemas.openxmlformats.org/officeDocument/2006/relationships/image" Target="../media/image24.jpeg"/><Relationship Id="rId6" Type="http://schemas.openxmlformats.org/officeDocument/2006/relationships/image" Target="../media/image26.jpeg"/><Relationship Id="rId5" Type="http://schemas.openxmlformats.org/officeDocument/2006/relationships/image" Target="../media/image2.gif"/><Relationship Id="rId4" Type="http://schemas.openxmlformats.org/officeDocument/2006/relationships/image" Target="../media/image7.png"/></Relationships>
</file>

<file path=xl/drawings/_rels/drawing7.xml.rels><?xml version="1.0" encoding="UTF-8" standalone="yes"?>
<Relationships xmlns="http://schemas.openxmlformats.org/package/2006/relationships"><Relationship Id="rId3" Type="http://schemas.openxmlformats.org/officeDocument/2006/relationships/image" Target="../media/image29.jpeg"/><Relationship Id="rId7" Type="http://schemas.openxmlformats.org/officeDocument/2006/relationships/image" Target="../media/image2.gif"/><Relationship Id="rId2" Type="http://schemas.openxmlformats.org/officeDocument/2006/relationships/image" Target="../media/image9.png"/><Relationship Id="rId1" Type="http://schemas.openxmlformats.org/officeDocument/2006/relationships/image" Target="../media/image28.png"/><Relationship Id="rId6" Type="http://schemas.openxmlformats.org/officeDocument/2006/relationships/image" Target="../media/image7.png"/><Relationship Id="rId5" Type="http://schemas.openxmlformats.org/officeDocument/2006/relationships/image" Target="../media/image8.gif"/><Relationship Id="rId4" Type="http://schemas.openxmlformats.org/officeDocument/2006/relationships/image" Target="../media/image27.png"/></Relationships>
</file>

<file path=xl/drawings/_rels/drawing8.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7.png"/><Relationship Id="rId1" Type="http://schemas.openxmlformats.org/officeDocument/2006/relationships/image" Target="../media/image6.png"/><Relationship Id="rId4"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27.png"/><Relationship Id="rId1" Type="http://schemas.openxmlformats.org/officeDocument/2006/relationships/image" Target="../media/image6.png"/><Relationship Id="rId4" Type="http://schemas.openxmlformats.org/officeDocument/2006/relationships/image" Target="../media/image3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31.png"/><Relationship Id="rId1" Type="http://schemas.openxmlformats.org/officeDocument/2006/relationships/image" Target="../media/image32.png"/><Relationship Id="rId5" Type="http://schemas.openxmlformats.org/officeDocument/2006/relationships/image" Target="../media/image34.jpeg"/><Relationship Id="rId4" Type="http://schemas.openxmlformats.org/officeDocument/2006/relationships/image" Target="../media/image33.png"/></Relationships>
</file>

<file path=xl/drawings/_rels/drawing1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32.png"/><Relationship Id="rId1" Type="http://schemas.openxmlformats.org/officeDocument/2006/relationships/image" Target="../media/image6.png"/><Relationship Id="rId4"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6.png"/><Relationship Id="rId6" Type="http://schemas.openxmlformats.org/officeDocument/2006/relationships/image" Target="../media/image36.jpeg"/><Relationship Id="rId5" Type="http://schemas.openxmlformats.org/officeDocument/2006/relationships/image" Target="../media/image35.png"/><Relationship Id="rId4"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xdr:from>
      <xdr:col>15</xdr:col>
      <xdr:colOff>38100</xdr:colOff>
      <xdr:row>1</xdr:row>
      <xdr:rowOff>28575</xdr:rowOff>
    </xdr:from>
    <xdr:to>
      <xdr:col>18</xdr:col>
      <xdr:colOff>552450</xdr:colOff>
      <xdr:row>2</xdr:row>
      <xdr:rowOff>238124</xdr:rowOff>
    </xdr:to>
    <xdr:sp macro="" textlink="">
      <xdr:nvSpPr>
        <xdr:cNvPr id="3" name="TextBox 2"/>
        <xdr:cNvSpPr txBox="1"/>
      </xdr:nvSpPr>
      <xdr:spPr>
        <a:xfrm>
          <a:off x="9639300" y="171450"/>
          <a:ext cx="2286000" cy="4190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00" b="1">
              <a:solidFill>
                <a:schemeClr val="accent1"/>
              </a:solidFill>
            </a:rPr>
            <a:t>Clique no controlo giratório para alterar o ano do calendário</a:t>
          </a:r>
        </a:p>
      </xdr:txBody>
    </xdr:sp>
    <xdr:clientData fPrintsWithSheet="0"/>
  </xdr:twoCellAnchor>
  <xdr:twoCellAnchor editAs="oneCell">
    <xdr:from>
      <xdr:col>1</xdr:col>
      <xdr:colOff>57150</xdr:colOff>
      <xdr:row>12</xdr:row>
      <xdr:rowOff>38101</xdr:rowOff>
    </xdr:from>
    <xdr:to>
      <xdr:col>8</xdr:col>
      <xdr:colOff>400050</xdr:colOff>
      <xdr:row>23</xdr:row>
      <xdr:rowOff>55271</xdr:rowOff>
    </xdr:to>
    <xdr:pic>
      <xdr:nvPicPr>
        <xdr:cNvPr id="4" name="Imagem 3"/>
        <xdr:cNvPicPr>
          <a:picLocks noChangeAspect="1"/>
        </xdr:cNvPicPr>
      </xdr:nvPicPr>
      <xdr:blipFill>
        <a:blip xmlns:r="http://schemas.openxmlformats.org/officeDocument/2006/relationships" r:embed="rId1"/>
        <a:stretch>
          <a:fillRect/>
        </a:stretch>
      </xdr:blipFill>
      <xdr:spPr>
        <a:xfrm>
          <a:off x="209550" y="2743201"/>
          <a:ext cx="3876675" cy="2531770"/>
        </a:xfrm>
        <a:prstGeom prst="rect">
          <a:avLst/>
        </a:prstGeom>
      </xdr:spPr>
    </xdr:pic>
    <xdr:clientData/>
  </xdr:twoCellAnchor>
  <xdr:twoCellAnchor editAs="oneCell">
    <xdr:from>
      <xdr:col>13</xdr:col>
      <xdr:colOff>390525</xdr:colOff>
      <xdr:row>4</xdr:row>
      <xdr:rowOff>9525</xdr:rowOff>
    </xdr:from>
    <xdr:to>
      <xdr:col>14</xdr:col>
      <xdr:colOff>9525</xdr:colOff>
      <xdr:row>5</xdr:row>
      <xdr:rowOff>3175</xdr:rowOff>
    </xdr:to>
    <xdr:pic>
      <xdr:nvPicPr>
        <xdr:cNvPr id="5" name="Imagem 4"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44000" y="876300"/>
          <a:ext cx="3333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1</xdr:row>
      <xdr:rowOff>28576</xdr:rowOff>
    </xdr:from>
    <xdr:to>
      <xdr:col>9</xdr:col>
      <xdr:colOff>428625</xdr:colOff>
      <xdr:row>3</xdr:row>
      <xdr:rowOff>47626</xdr:rowOff>
    </xdr:to>
    <xdr:pic>
      <xdr:nvPicPr>
        <xdr:cNvPr id="6" name="Imagem 5"/>
        <xdr:cNvPicPr/>
      </xdr:nvPicPr>
      <xdr:blipFill>
        <a:blip xmlns:r="http://schemas.openxmlformats.org/officeDocument/2006/relationships" r:embed="rId3"/>
        <a:stretch>
          <a:fillRect/>
        </a:stretch>
      </xdr:blipFill>
      <xdr:spPr>
        <a:xfrm>
          <a:off x="4067175" y="171451"/>
          <a:ext cx="495300" cy="514350"/>
        </a:xfrm>
        <a:prstGeom prst="rect">
          <a:avLst/>
        </a:prstGeom>
      </xdr:spPr>
    </xdr:pic>
    <xdr:clientData/>
  </xdr:twoCellAnchor>
  <xdr:twoCellAnchor editAs="oneCell">
    <xdr:from>
      <xdr:col>13</xdr:col>
      <xdr:colOff>57150</xdr:colOff>
      <xdr:row>3</xdr:row>
      <xdr:rowOff>9525</xdr:rowOff>
    </xdr:from>
    <xdr:to>
      <xdr:col>13</xdr:col>
      <xdr:colOff>390525</xdr:colOff>
      <xdr:row>4</xdr:row>
      <xdr:rowOff>3175</xdr:rowOff>
    </xdr:to>
    <xdr:pic>
      <xdr:nvPicPr>
        <xdr:cNvPr id="8" name="Imagem 7"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810625" y="647700"/>
          <a:ext cx="3333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9525</xdr:colOff>
      <xdr:row>12</xdr:row>
      <xdr:rowOff>161925</xdr:rowOff>
    </xdr:from>
    <xdr:to>
      <xdr:col>13</xdr:col>
      <xdr:colOff>685800</xdr:colOff>
      <xdr:row>30</xdr:row>
      <xdr:rowOff>114300</xdr:rowOff>
    </xdr:to>
    <xdr:sp macro="" textlink="">
      <xdr:nvSpPr>
        <xdr:cNvPr id="7" name="CaixaDeTexto 6"/>
        <xdr:cNvSpPr txBox="1"/>
      </xdr:nvSpPr>
      <xdr:spPr>
        <a:xfrm>
          <a:off x="4591050" y="3114675"/>
          <a:ext cx="4848225" cy="40671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PT" sz="1400" b="1">
              <a:solidFill>
                <a:schemeClr val="dk1"/>
              </a:solidFill>
              <a:effectLst/>
              <a:latin typeface="Book Antiqua" panose="02040602050305030304" pitchFamily="18" charset="0"/>
              <a:ea typeface="+mn-ea"/>
              <a:cs typeface="+mn-cs"/>
            </a:rPr>
            <a:t>Little Union from January 24 </a:t>
          </a:r>
        </a:p>
        <a:p>
          <a:pPr algn="ctr"/>
          <a:r>
            <a:rPr lang="it-IT" sz="1400">
              <a:solidFill>
                <a:schemeClr val="dk1"/>
              </a:solidFill>
              <a:effectLst/>
              <a:latin typeface="Book Antiqua" panose="02040602050305030304" pitchFamily="18" charset="0"/>
              <a:ea typeface="+mn-ea"/>
              <a:cs typeface="+mn-cs"/>
            </a:rPr>
            <a:t>Mica Unire de la 24 ianuarie</a:t>
          </a:r>
          <a:r>
            <a:rPr lang="pt-PT" sz="1400" b="1">
              <a:solidFill>
                <a:schemeClr val="dk1"/>
              </a:solidFill>
              <a:effectLst/>
              <a:latin typeface="Book Antiqua" panose="02040602050305030304" pitchFamily="18" charset="0"/>
              <a:ea typeface="+mn-ea"/>
              <a:cs typeface="+mn-cs"/>
            </a:rPr>
            <a:t>  </a:t>
          </a:r>
        </a:p>
        <a:p>
          <a:r>
            <a:rPr lang="pt-PT" sz="1200">
              <a:solidFill>
                <a:schemeClr val="dk1"/>
              </a:solidFill>
              <a:effectLst/>
              <a:latin typeface="Book Antiqua" panose="02040602050305030304" pitchFamily="18" charset="0"/>
              <a:ea typeface="+mn-ea"/>
              <a:cs typeface="+mn-cs"/>
            </a:rPr>
            <a:t> </a:t>
          </a:r>
        </a:p>
        <a:p>
          <a:r>
            <a:rPr lang="pt-PT" sz="1200">
              <a:solidFill>
                <a:schemeClr val="dk1"/>
              </a:solidFill>
              <a:effectLst/>
              <a:latin typeface="Book Antiqua" panose="02040602050305030304" pitchFamily="18" charset="0"/>
              <a:ea typeface="+mn-ea"/>
              <a:cs typeface="+mn-cs"/>
            </a:rPr>
            <a:t>   Union of the Romanian Principalities, known as Little Union, held in 1859, specifically on 24 January when Alexandru Ioan Cuza was elected ruler in Romanian </a:t>
          </a:r>
        </a:p>
        <a:p>
          <a:r>
            <a:rPr lang="pt-PT" sz="1200">
              <a:solidFill>
                <a:schemeClr val="dk1"/>
              </a:solidFill>
              <a:effectLst/>
              <a:latin typeface="Book Antiqua" panose="02040602050305030304" pitchFamily="18" charset="0"/>
              <a:ea typeface="+mn-ea"/>
              <a:cs typeface="+mn-cs"/>
            </a:rPr>
            <a:t>   At the beginning of the Great Powers Europe did not agree with this union. But eventually France, and Russia, Italy and Prussia were full agreement with the union. Alexandru I. Cuza expected judgment of Constantinople Conference convened for that purpose. As expected, the first meeting since the Ottoman Empire demanded the right to intervene mainly in cases of violations of the Paris Convention and Austria union admitted only during the reign of Alexandru Ioan Cuzaountry after the January 5, 1859 he was elected ruler in Moldova.</a:t>
          </a:r>
        </a:p>
        <a:p>
          <a:r>
            <a:rPr lang="pt-PT" sz="1200">
              <a:solidFill>
                <a:schemeClr val="dk1"/>
              </a:solidFill>
              <a:effectLst/>
              <a:latin typeface="Book Antiqua" panose="02040602050305030304" pitchFamily="18" charset="0"/>
              <a:ea typeface="+mn-ea"/>
              <a:cs typeface="+mn-cs"/>
            </a:rPr>
            <a:t>   The series of reforms initiated by Cuza and then coming to the throne of the United Principalities of Prince Charles, who enjoy both France and the support of Prussia, made the act of 1859 to be irreversible. In 1866, under the Constitution promulgated on July 1, United Principalities begin to officially appoint Romania.</a:t>
          </a:r>
        </a:p>
        <a:p>
          <a:endParaRPr lang="pt-PT" sz="1200">
            <a:latin typeface="Book Antiqua" panose="02040602050305030304" pitchFamily="18" charset="0"/>
          </a:endParaRPr>
        </a:p>
      </xdr:txBody>
    </xdr:sp>
    <xdr:clientData/>
  </xdr:twoCellAnchor>
  <xdr:twoCellAnchor>
    <xdr:from>
      <xdr:col>12</xdr:col>
      <xdr:colOff>447675</xdr:colOff>
      <xdr:row>29</xdr:row>
      <xdr:rowOff>190500</xdr:rowOff>
    </xdr:from>
    <xdr:to>
      <xdr:col>12</xdr:col>
      <xdr:colOff>3095625</xdr:colOff>
      <xdr:row>37</xdr:row>
      <xdr:rowOff>152400</xdr:rowOff>
    </xdr:to>
    <xdr:pic>
      <xdr:nvPicPr>
        <xdr:cNvPr id="11" name="Imagem 10"/>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772150" y="7029450"/>
          <a:ext cx="2647950" cy="171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247650</xdr:colOff>
      <xdr:row>6</xdr:row>
      <xdr:rowOff>47625</xdr:rowOff>
    </xdr:from>
    <xdr:to>
      <xdr:col>12</xdr:col>
      <xdr:colOff>3058795</xdr:colOff>
      <xdr:row>12</xdr:row>
      <xdr:rowOff>28575</xdr:rowOff>
    </xdr:to>
    <xdr:pic>
      <xdr:nvPicPr>
        <xdr:cNvPr id="16" name="Imagem 15" descr="http://blog.ecoetsy.com/wp-content/uploads/2013/11/Happy-New-Year-Clip-Art-Z4.jpg"/>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7234"/>
        <a:stretch/>
      </xdr:blipFill>
      <xdr:spPr bwMode="auto">
        <a:xfrm>
          <a:off x="5572125" y="1619250"/>
          <a:ext cx="2811145" cy="1362075"/>
        </a:xfrm>
        <a:prstGeom prst="rect">
          <a:avLst/>
        </a:prstGeom>
        <a:noFill/>
        <a:ln>
          <a:noFill/>
        </a:ln>
        <a:extLst>
          <a:ext uri="{53640926-AAD7-44D8-BBD7-CCE9431645EC}">
            <a14:shadowObscured xmlns:a14="http://schemas.microsoft.com/office/drawing/2010/main"/>
          </a:ext>
        </a:extLst>
      </xdr:spPr>
    </xdr:pic>
    <xdr:clientData/>
  </xdr:twoCellAnchor>
  <xdr:twoCellAnchor>
    <xdr:from>
      <xdr:col>2</xdr:col>
      <xdr:colOff>200026</xdr:colOff>
      <xdr:row>23</xdr:row>
      <xdr:rowOff>57150</xdr:rowOff>
    </xdr:from>
    <xdr:to>
      <xdr:col>6</xdr:col>
      <xdr:colOff>219076</xdr:colOff>
      <xdr:row>25</xdr:row>
      <xdr:rowOff>152400</xdr:rowOff>
    </xdr:to>
    <xdr:sp macro="" textlink="">
      <xdr:nvSpPr>
        <xdr:cNvPr id="10" name="CaixaDeTexto 9"/>
        <xdr:cNvSpPr txBox="1"/>
      </xdr:nvSpPr>
      <xdr:spPr>
        <a:xfrm>
          <a:off x="1200151" y="5524500"/>
          <a:ext cx="1809750" cy="5524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it-IT" sz="3600">
              <a:solidFill>
                <a:schemeClr val="dk1"/>
              </a:solidFill>
              <a:effectLst/>
              <a:latin typeface="Book Antiqua" panose="02040602050305030304" pitchFamily="18" charset="0"/>
              <a:ea typeface="+mn-ea"/>
              <a:cs typeface="+mn-cs"/>
            </a:rPr>
            <a:t>AIMEE</a:t>
          </a:r>
          <a:endParaRPr lang="pt-PT" sz="3600">
            <a:solidFill>
              <a:schemeClr val="dk1"/>
            </a:solidFill>
            <a:effectLst/>
            <a:latin typeface="Book Antiqua" panose="02040602050305030304" pitchFamily="18" charset="0"/>
            <a:ea typeface="+mn-ea"/>
            <a:cs typeface="+mn-cs"/>
          </a:endParaRPr>
        </a:p>
        <a:p>
          <a:endParaRPr lang="pt-PT" sz="1100"/>
        </a:p>
      </xdr:txBody>
    </xdr:sp>
    <xdr:clientData/>
  </xdr:twoCellAnchor>
  <mc:AlternateContent xmlns:mc="http://schemas.openxmlformats.org/markup-compatibility/2006">
    <mc:Choice xmlns:a14="http://schemas.microsoft.com/office/drawing/2010/main" Requires="a14">
      <xdr:twoCellAnchor editAs="oneCell">
        <xdr:from>
          <xdr:col>14</xdr:col>
          <xdr:colOff>28575</xdr:colOff>
          <xdr:row>1</xdr:row>
          <xdr:rowOff>85725</xdr:rowOff>
        </xdr:from>
        <xdr:to>
          <xdr:col>15</xdr:col>
          <xdr:colOff>0</xdr:colOff>
          <xdr:row>2</xdr:row>
          <xdr:rowOff>161925</xdr:rowOff>
        </xdr:to>
        <xdr:sp macro="" textlink="">
          <xdr:nvSpPr>
            <xdr:cNvPr id="1025" name="Spinner 1" hidden="1">
              <a:extLst>
                <a:ext uri="{63B3BB69-23CF-44E3-9099-C40C66FF867C}">
                  <a14:compatExt spid="_x0000_s1025"/>
                </a:ext>
              </a:extLst>
            </xdr:cNvPr>
            <xdr:cNvSpPr/>
          </xdr:nvSpPr>
          <xdr:spPr>
            <a:xfrm>
              <a:off x="0" y="0"/>
              <a:ext cx="0" cy="0"/>
            </a:xfrm>
            <a:prstGeom prst="rect">
              <a:avLst/>
            </a:prstGeom>
          </xdr:spPr>
        </xdr:sp>
        <xdr:clientData fPrintsWithSheet="0"/>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12</xdr:col>
      <xdr:colOff>2628900</xdr:colOff>
      <xdr:row>10</xdr:row>
      <xdr:rowOff>12871</xdr:rowOff>
    </xdr:from>
    <xdr:to>
      <xdr:col>12</xdr:col>
      <xdr:colOff>2981325</xdr:colOff>
      <xdr:row>11</xdr:row>
      <xdr:rowOff>19074</xdr:rowOff>
    </xdr:to>
    <xdr:pic>
      <xdr:nvPicPr>
        <xdr:cNvPr id="2"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3375" y="2260771"/>
          <a:ext cx="352425" cy="234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2952751</xdr:colOff>
      <xdr:row>11</xdr:row>
      <xdr:rowOff>41432</xdr:rowOff>
    </xdr:from>
    <xdr:to>
      <xdr:col>12</xdr:col>
      <xdr:colOff>3295651</xdr:colOff>
      <xdr:row>12</xdr:row>
      <xdr:rowOff>41289</xdr:rowOff>
    </xdr:to>
    <xdr:pic>
      <xdr:nvPicPr>
        <xdr:cNvPr id="3" name="Imagem 2"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77226" y="2517932"/>
          <a:ext cx="342900" cy="228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2705100</xdr:colOff>
      <xdr:row>3</xdr:row>
      <xdr:rowOff>225425</xdr:rowOff>
    </xdr:from>
    <xdr:to>
      <xdr:col>12</xdr:col>
      <xdr:colOff>3038475</xdr:colOff>
      <xdr:row>4</xdr:row>
      <xdr:rowOff>219075</xdr:rowOff>
    </xdr:to>
    <xdr:pic>
      <xdr:nvPicPr>
        <xdr:cNvPr id="4" name="Imagem 3"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029575" y="863600"/>
          <a:ext cx="3333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3048000</xdr:colOff>
      <xdr:row>4</xdr:row>
      <xdr:rowOff>219076</xdr:rowOff>
    </xdr:from>
    <xdr:to>
      <xdr:col>12</xdr:col>
      <xdr:colOff>3381375</xdr:colOff>
      <xdr:row>6</xdr:row>
      <xdr:rowOff>9525</xdr:rowOff>
    </xdr:to>
    <xdr:pic>
      <xdr:nvPicPr>
        <xdr:cNvPr id="6" name="Imagem 5" descr="http://upload.wikimedia.org/wikipedia/commons/thumb/7/73/Flag_of_Romania.svg/250px-Flag_of_Romania.svg.png"/>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372475" y="1085851"/>
          <a:ext cx="333375" cy="247649"/>
        </a:xfrm>
        <a:prstGeom prst="rect">
          <a:avLst/>
        </a:prstGeom>
        <a:noFill/>
        <a:ln>
          <a:noFill/>
        </a:ln>
      </xdr:spPr>
    </xdr:pic>
    <xdr:clientData/>
  </xdr:twoCellAnchor>
  <xdr:twoCellAnchor editAs="oneCell">
    <xdr:from>
      <xdr:col>9</xdr:col>
      <xdr:colOff>19050</xdr:colOff>
      <xdr:row>1</xdr:row>
      <xdr:rowOff>19050</xdr:rowOff>
    </xdr:from>
    <xdr:to>
      <xdr:col>10</xdr:col>
      <xdr:colOff>66675</xdr:colOff>
      <xdr:row>3</xdr:row>
      <xdr:rowOff>38100</xdr:rowOff>
    </xdr:to>
    <xdr:pic>
      <xdr:nvPicPr>
        <xdr:cNvPr id="7" name="Imagem 6"/>
        <xdr:cNvPicPr/>
      </xdr:nvPicPr>
      <xdr:blipFill>
        <a:blip xmlns:r="http://schemas.openxmlformats.org/officeDocument/2006/relationships" r:embed="rId4"/>
        <a:stretch>
          <a:fillRect/>
        </a:stretch>
      </xdr:blipFill>
      <xdr:spPr>
        <a:xfrm>
          <a:off x="4152900" y="161925"/>
          <a:ext cx="495300" cy="514350"/>
        </a:xfrm>
        <a:prstGeom prst="rect">
          <a:avLst/>
        </a:prstGeom>
      </xdr:spPr>
    </xdr:pic>
    <xdr:clientData/>
  </xdr:twoCellAnchor>
  <xdr:twoCellAnchor editAs="oneCell">
    <xdr:from>
      <xdr:col>12</xdr:col>
      <xdr:colOff>3048000</xdr:colOff>
      <xdr:row>2</xdr:row>
      <xdr:rowOff>247650</xdr:rowOff>
    </xdr:from>
    <xdr:to>
      <xdr:col>12</xdr:col>
      <xdr:colOff>3419473</xdr:colOff>
      <xdr:row>3</xdr:row>
      <xdr:rowOff>228444</xdr:rowOff>
    </xdr:to>
    <xdr:pic>
      <xdr:nvPicPr>
        <xdr:cNvPr id="9" name="Imagem 8"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372475" y="619125"/>
          <a:ext cx="371473" cy="247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2695575</xdr:colOff>
      <xdr:row>6</xdr:row>
      <xdr:rowOff>0</xdr:rowOff>
    </xdr:from>
    <xdr:to>
      <xdr:col>12</xdr:col>
      <xdr:colOff>3028950</xdr:colOff>
      <xdr:row>6</xdr:row>
      <xdr:rowOff>209549</xdr:rowOff>
    </xdr:to>
    <xdr:pic>
      <xdr:nvPicPr>
        <xdr:cNvPr id="10" name="Imagem 9" descr="http://upload.wikimedia.org/wikipedia/commons/thumb/7/73/Flag_of_Romania.svg/250px-Flag_of_Romania.svg.png"/>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020050" y="1323975"/>
          <a:ext cx="333375" cy="209549"/>
        </a:xfrm>
        <a:prstGeom prst="rect">
          <a:avLst/>
        </a:prstGeom>
        <a:noFill/>
        <a:ln>
          <a:noFill/>
        </a:ln>
      </xdr:spPr>
    </xdr:pic>
    <xdr:clientData/>
  </xdr:twoCellAnchor>
  <xdr:twoCellAnchor editAs="oneCell">
    <xdr:from>
      <xdr:col>12</xdr:col>
      <xdr:colOff>3009900</xdr:colOff>
      <xdr:row>7</xdr:row>
      <xdr:rowOff>19050</xdr:rowOff>
    </xdr:from>
    <xdr:to>
      <xdr:col>12</xdr:col>
      <xdr:colOff>3343275</xdr:colOff>
      <xdr:row>8</xdr:row>
      <xdr:rowOff>3175</xdr:rowOff>
    </xdr:to>
    <xdr:pic>
      <xdr:nvPicPr>
        <xdr:cNvPr id="11" name="Imagem 10"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334375" y="1571625"/>
          <a:ext cx="3333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2705100</xdr:colOff>
      <xdr:row>8</xdr:row>
      <xdr:rowOff>0</xdr:rowOff>
    </xdr:from>
    <xdr:to>
      <xdr:col>12</xdr:col>
      <xdr:colOff>3028950</xdr:colOff>
      <xdr:row>9</xdr:row>
      <xdr:rowOff>0</xdr:rowOff>
    </xdr:to>
    <xdr:pic>
      <xdr:nvPicPr>
        <xdr:cNvPr id="12" name="Imagem 11" descr="http://www.suapesquisa.com/paises/italia/bandeira_da_italia.gif"/>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29575" y="1790700"/>
          <a:ext cx="323850" cy="228600"/>
        </a:xfrm>
        <a:prstGeom prst="rect">
          <a:avLst/>
        </a:prstGeom>
        <a:noFill/>
        <a:ln>
          <a:noFill/>
        </a:ln>
      </xdr:spPr>
    </xdr:pic>
    <xdr:clientData/>
  </xdr:twoCellAnchor>
  <xdr:twoCellAnchor editAs="oneCell">
    <xdr:from>
      <xdr:col>12</xdr:col>
      <xdr:colOff>3000375</xdr:colOff>
      <xdr:row>9</xdr:row>
      <xdr:rowOff>0</xdr:rowOff>
    </xdr:from>
    <xdr:to>
      <xdr:col>12</xdr:col>
      <xdr:colOff>3333750</xdr:colOff>
      <xdr:row>10</xdr:row>
      <xdr:rowOff>9525</xdr:rowOff>
    </xdr:to>
    <xdr:pic>
      <xdr:nvPicPr>
        <xdr:cNvPr id="13" name="Imagem 12" descr="http://gartic.uol.com.br/imgs/mural/wo/wolfet/livre_1278882719.png"/>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324850" y="2019300"/>
          <a:ext cx="333375" cy="238125"/>
        </a:xfrm>
        <a:prstGeom prst="rect">
          <a:avLst/>
        </a:prstGeom>
        <a:noFill/>
        <a:ln>
          <a:noFill/>
        </a:ln>
      </xdr:spPr>
    </xdr:pic>
    <xdr:clientData/>
  </xdr:twoCellAnchor>
  <xdr:twoCellAnchor editAs="oneCell">
    <xdr:from>
      <xdr:col>12</xdr:col>
      <xdr:colOff>2581275</xdr:colOff>
      <xdr:row>12</xdr:row>
      <xdr:rowOff>28575</xdr:rowOff>
    </xdr:from>
    <xdr:to>
      <xdr:col>12</xdr:col>
      <xdr:colOff>2924175</xdr:colOff>
      <xdr:row>13</xdr:row>
      <xdr:rowOff>28432</xdr:rowOff>
    </xdr:to>
    <xdr:pic>
      <xdr:nvPicPr>
        <xdr:cNvPr id="14" name="Imagem 13"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05750" y="2733675"/>
          <a:ext cx="342900" cy="228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2905125</xdr:colOff>
      <xdr:row>12</xdr:row>
      <xdr:rowOff>209550</xdr:rowOff>
    </xdr:from>
    <xdr:to>
      <xdr:col>12</xdr:col>
      <xdr:colOff>3228975</xdr:colOff>
      <xdr:row>13</xdr:row>
      <xdr:rowOff>209550</xdr:rowOff>
    </xdr:to>
    <xdr:pic>
      <xdr:nvPicPr>
        <xdr:cNvPr id="15" name="Imagem 14" descr="http://www.suapesquisa.com/paises/italia/bandeira_da_italia.gif"/>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29600" y="2914650"/>
          <a:ext cx="323850" cy="228600"/>
        </a:xfrm>
        <a:prstGeom prst="rect">
          <a:avLst/>
        </a:prstGeom>
        <a:noFill/>
        <a:ln>
          <a:noFill/>
        </a:ln>
      </xdr:spPr>
    </xdr:pic>
    <xdr:clientData/>
  </xdr:twoCellAnchor>
  <xdr:twoCellAnchor editAs="oneCell">
    <xdr:from>
      <xdr:col>12</xdr:col>
      <xdr:colOff>2600325</xdr:colOff>
      <xdr:row>13</xdr:row>
      <xdr:rowOff>219075</xdr:rowOff>
    </xdr:from>
    <xdr:to>
      <xdr:col>12</xdr:col>
      <xdr:colOff>2933700</xdr:colOff>
      <xdr:row>15</xdr:row>
      <xdr:rowOff>0</xdr:rowOff>
    </xdr:to>
    <xdr:pic>
      <xdr:nvPicPr>
        <xdr:cNvPr id="16" name="Imagem 15" descr="http://gartic.uol.com.br/imgs/mural/wo/wolfet/livre_1278882719.png"/>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924800" y="3152775"/>
          <a:ext cx="333375" cy="23812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0</xdr:colOff>
      <xdr:row>10</xdr:row>
      <xdr:rowOff>9525</xdr:rowOff>
    </xdr:from>
    <xdr:to>
      <xdr:col>13</xdr:col>
      <xdr:colOff>371473</xdr:colOff>
      <xdr:row>11</xdr:row>
      <xdr:rowOff>9369</xdr:rowOff>
    </xdr:to>
    <xdr:pic>
      <xdr:nvPicPr>
        <xdr:cNvPr id="2"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53475" y="2257425"/>
          <a:ext cx="371473" cy="2284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400050</xdr:colOff>
      <xdr:row>3</xdr:row>
      <xdr:rowOff>0</xdr:rowOff>
    </xdr:from>
    <xdr:to>
      <xdr:col>14</xdr:col>
      <xdr:colOff>9525</xdr:colOff>
      <xdr:row>4</xdr:row>
      <xdr:rowOff>0</xdr:rowOff>
    </xdr:to>
    <xdr:pic>
      <xdr:nvPicPr>
        <xdr:cNvPr id="4" name="Imagem 3" descr="http://www.suapesquisa.com/paises/italia/bandeira_da_italia.gif"/>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53525" y="638175"/>
          <a:ext cx="323850" cy="228600"/>
        </a:xfrm>
        <a:prstGeom prst="rect">
          <a:avLst/>
        </a:prstGeom>
        <a:noFill/>
        <a:ln>
          <a:noFill/>
        </a:ln>
      </xdr:spPr>
    </xdr:pic>
    <xdr:clientData/>
  </xdr:twoCellAnchor>
  <xdr:twoCellAnchor editAs="oneCell">
    <xdr:from>
      <xdr:col>13</xdr:col>
      <xdr:colOff>47625</xdr:colOff>
      <xdr:row>4</xdr:row>
      <xdr:rowOff>0</xdr:rowOff>
    </xdr:from>
    <xdr:to>
      <xdr:col>13</xdr:col>
      <xdr:colOff>381000</xdr:colOff>
      <xdr:row>5</xdr:row>
      <xdr:rowOff>9525</xdr:rowOff>
    </xdr:to>
    <xdr:pic>
      <xdr:nvPicPr>
        <xdr:cNvPr id="5" name="Imagem 4" descr="http://gartic.uol.com.br/imgs/mural/wo/wolfet/livre_1278882719.png"/>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8801100" y="866775"/>
          <a:ext cx="333375" cy="238125"/>
        </a:xfrm>
        <a:prstGeom prst="rect">
          <a:avLst/>
        </a:prstGeom>
        <a:noFill/>
        <a:ln>
          <a:noFill/>
        </a:ln>
      </xdr:spPr>
    </xdr:pic>
    <xdr:clientData/>
  </xdr:twoCellAnchor>
  <xdr:twoCellAnchor editAs="oneCell">
    <xdr:from>
      <xdr:col>13</xdr:col>
      <xdr:colOff>400050</xdr:colOff>
      <xdr:row>4</xdr:row>
      <xdr:rowOff>219075</xdr:rowOff>
    </xdr:from>
    <xdr:to>
      <xdr:col>14</xdr:col>
      <xdr:colOff>19050</xdr:colOff>
      <xdr:row>6</xdr:row>
      <xdr:rowOff>0</xdr:rowOff>
    </xdr:to>
    <xdr:pic>
      <xdr:nvPicPr>
        <xdr:cNvPr id="6" name="Imagem 5" descr="http://gartic.uol.com.br/imgs/mural/wo/wolfet/livre_1278882719.png"/>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53525" y="1085850"/>
          <a:ext cx="333375" cy="238125"/>
        </a:xfrm>
        <a:prstGeom prst="rect">
          <a:avLst/>
        </a:prstGeom>
        <a:noFill/>
        <a:ln>
          <a:noFill/>
        </a:ln>
      </xdr:spPr>
    </xdr:pic>
    <xdr:clientData/>
  </xdr:twoCellAnchor>
  <xdr:twoCellAnchor editAs="oneCell">
    <xdr:from>
      <xdr:col>13</xdr:col>
      <xdr:colOff>38100</xdr:colOff>
      <xdr:row>6</xdr:row>
      <xdr:rowOff>0</xdr:rowOff>
    </xdr:from>
    <xdr:to>
      <xdr:col>13</xdr:col>
      <xdr:colOff>371475</xdr:colOff>
      <xdr:row>7</xdr:row>
      <xdr:rowOff>0</xdr:rowOff>
    </xdr:to>
    <xdr:pic>
      <xdr:nvPicPr>
        <xdr:cNvPr id="8" name="Imagem 7"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791575" y="1323975"/>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381000</xdr:colOff>
      <xdr:row>7</xdr:row>
      <xdr:rowOff>9525</xdr:rowOff>
    </xdr:from>
    <xdr:to>
      <xdr:col>14</xdr:col>
      <xdr:colOff>0</xdr:colOff>
      <xdr:row>7</xdr:row>
      <xdr:rowOff>228600</xdr:rowOff>
    </xdr:to>
    <xdr:pic>
      <xdr:nvPicPr>
        <xdr:cNvPr id="9" name="Imagem 8" descr="http://upload.wikimedia.org/wikipedia/commons/thumb/7/73/Flag_of_Romania.svg/250px-Flag_of_Romania.svg.png"/>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134475" y="1562100"/>
          <a:ext cx="333375" cy="219075"/>
        </a:xfrm>
        <a:prstGeom prst="rect">
          <a:avLst/>
        </a:prstGeom>
        <a:noFill/>
        <a:ln>
          <a:noFill/>
        </a:ln>
      </xdr:spPr>
    </xdr:pic>
    <xdr:clientData/>
  </xdr:twoCellAnchor>
  <xdr:twoCellAnchor editAs="oneCell">
    <xdr:from>
      <xdr:col>13</xdr:col>
      <xdr:colOff>381000</xdr:colOff>
      <xdr:row>7</xdr:row>
      <xdr:rowOff>9525</xdr:rowOff>
    </xdr:from>
    <xdr:to>
      <xdr:col>14</xdr:col>
      <xdr:colOff>0</xdr:colOff>
      <xdr:row>8</xdr:row>
      <xdr:rowOff>0</xdr:rowOff>
    </xdr:to>
    <xdr:pic>
      <xdr:nvPicPr>
        <xdr:cNvPr id="10" name="Imagem 9" descr="http://upload.wikimedia.org/wikipedia/commons/thumb/7/73/Flag_of_Romania.svg/250px-Flag_of_Romania.svg.png"/>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134475" y="1562100"/>
          <a:ext cx="333375" cy="228600"/>
        </a:xfrm>
        <a:prstGeom prst="rect">
          <a:avLst/>
        </a:prstGeom>
        <a:noFill/>
        <a:ln>
          <a:noFill/>
        </a:ln>
      </xdr:spPr>
    </xdr:pic>
    <xdr:clientData/>
  </xdr:twoCellAnchor>
  <xdr:twoCellAnchor editAs="oneCell">
    <xdr:from>
      <xdr:col>13</xdr:col>
      <xdr:colOff>19050</xdr:colOff>
      <xdr:row>8</xdr:row>
      <xdr:rowOff>9525</xdr:rowOff>
    </xdr:from>
    <xdr:to>
      <xdr:col>13</xdr:col>
      <xdr:colOff>352425</xdr:colOff>
      <xdr:row>9</xdr:row>
      <xdr:rowOff>0</xdr:rowOff>
    </xdr:to>
    <xdr:pic>
      <xdr:nvPicPr>
        <xdr:cNvPr id="11" name="Imagem 10" descr="http://upload.wikimedia.org/wikipedia/commons/thumb/7/73/Flag_of_Romania.svg/250px-Flag_of_Romania.svg.png"/>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72525" y="1800225"/>
          <a:ext cx="333375" cy="219075"/>
        </a:xfrm>
        <a:prstGeom prst="rect">
          <a:avLst/>
        </a:prstGeom>
        <a:noFill/>
        <a:ln>
          <a:noFill/>
        </a:ln>
      </xdr:spPr>
    </xdr:pic>
    <xdr:clientData/>
  </xdr:twoCellAnchor>
  <xdr:twoCellAnchor editAs="oneCell">
    <xdr:from>
      <xdr:col>13</xdr:col>
      <xdr:colOff>371475</xdr:colOff>
      <xdr:row>9</xdr:row>
      <xdr:rowOff>0</xdr:rowOff>
    </xdr:from>
    <xdr:to>
      <xdr:col>13</xdr:col>
      <xdr:colOff>704850</xdr:colOff>
      <xdr:row>10</xdr:row>
      <xdr:rowOff>9525</xdr:rowOff>
    </xdr:to>
    <xdr:pic>
      <xdr:nvPicPr>
        <xdr:cNvPr id="12" name="Imagem 11" descr="http://gartic.uol.com.br/imgs/mural/wo/wolfet/livre_1278882719.png"/>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24950" y="2019300"/>
          <a:ext cx="333375" cy="238125"/>
        </a:xfrm>
        <a:prstGeom prst="rect">
          <a:avLst/>
        </a:prstGeom>
        <a:noFill/>
        <a:ln>
          <a:noFill/>
        </a:ln>
      </xdr:spPr>
    </xdr:pic>
    <xdr:clientData/>
  </xdr:twoCellAnchor>
  <xdr:twoCellAnchor editAs="oneCell">
    <xdr:from>
      <xdr:col>13</xdr:col>
      <xdr:colOff>400050</xdr:colOff>
      <xdr:row>11</xdr:row>
      <xdr:rowOff>0</xdr:rowOff>
    </xdr:from>
    <xdr:to>
      <xdr:col>14</xdr:col>
      <xdr:colOff>9525</xdr:colOff>
      <xdr:row>12</xdr:row>
      <xdr:rowOff>0</xdr:rowOff>
    </xdr:to>
    <xdr:pic>
      <xdr:nvPicPr>
        <xdr:cNvPr id="13" name="Imagem 12" descr="http://www.suapesquisa.com/paises/italia/bandeira_da_italia.gif"/>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53525" y="2476500"/>
          <a:ext cx="323850" cy="228600"/>
        </a:xfrm>
        <a:prstGeom prst="rect">
          <a:avLst/>
        </a:prstGeom>
        <a:noFill/>
        <a:ln>
          <a:noFill/>
        </a:ln>
      </xdr:spPr>
    </xdr:pic>
    <xdr:clientData/>
  </xdr:twoCellAnchor>
  <xdr:twoCellAnchor editAs="oneCell">
    <xdr:from>
      <xdr:col>13</xdr:col>
      <xdr:colOff>19050</xdr:colOff>
      <xdr:row>12</xdr:row>
      <xdr:rowOff>0</xdr:rowOff>
    </xdr:from>
    <xdr:to>
      <xdr:col>13</xdr:col>
      <xdr:colOff>352425</xdr:colOff>
      <xdr:row>13</xdr:row>
      <xdr:rowOff>0</xdr:rowOff>
    </xdr:to>
    <xdr:pic>
      <xdr:nvPicPr>
        <xdr:cNvPr id="14" name="Imagem 13"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772525" y="270510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0</xdr:colOff>
      <xdr:row>20</xdr:row>
      <xdr:rowOff>57150</xdr:rowOff>
    </xdr:from>
    <xdr:to>
      <xdr:col>6</xdr:col>
      <xdr:colOff>104775</xdr:colOff>
      <xdr:row>21</xdr:row>
      <xdr:rowOff>142875</xdr:rowOff>
    </xdr:to>
    <xdr:sp macro="" textlink="">
      <xdr:nvSpPr>
        <xdr:cNvPr id="17" name="CaixaDeTexto 16"/>
        <xdr:cNvSpPr txBox="1"/>
      </xdr:nvSpPr>
      <xdr:spPr>
        <a:xfrm>
          <a:off x="1895475" y="4591050"/>
          <a:ext cx="1000125"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a:latin typeface="Cooper Black" panose="0208090404030B020404" pitchFamily="18" charset="0"/>
            </a:rPr>
            <a:t>In Spain</a:t>
          </a:r>
        </a:p>
      </xdr:txBody>
    </xdr:sp>
    <xdr:clientData/>
  </xdr:twoCellAnchor>
  <xdr:twoCellAnchor editAs="oneCell">
    <xdr:from>
      <xdr:col>9</xdr:col>
      <xdr:colOff>0</xdr:colOff>
      <xdr:row>1</xdr:row>
      <xdr:rowOff>0</xdr:rowOff>
    </xdr:from>
    <xdr:to>
      <xdr:col>10</xdr:col>
      <xdr:colOff>123825</xdr:colOff>
      <xdr:row>2</xdr:row>
      <xdr:rowOff>247650</xdr:rowOff>
    </xdr:to>
    <xdr:pic>
      <xdr:nvPicPr>
        <xdr:cNvPr id="18" name="Imagem 17"/>
        <xdr:cNvPicPr/>
      </xdr:nvPicPr>
      <xdr:blipFill>
        <a:blip xmlns:r="http://schemas.openxmlformats.org/officeDocument/2006/relationships" r:embed="rId6"/>
        <a:stretch>
          <a:fillRect/>
        </a:stretch>
      </xdr:blipFill>
      <xdr:spPr>
        <a:xfrm>
          <a:off x="4133850" y="142875"/>
          <a:ext cx="571500" cy="476250"/>
        </a:xfrm>
        <a:prstGeom prst="rect">
          <a:avLst/>
        </a:prstGeom>
      </xdr:spPr>
    </xdr:pic>
    <xdr:clientData/>
  </xdr:twoCellAnchor>
  <xdr:twoCellAnchor>
    <xdr:from>
      <xdr:col>7</xdr:col>
      <xdr:colOff>28575</xdr:colOff>
      <xdr:row>14</xdr:row>
      <xdr:rowOff>171450</xdr:rowOff>
    </xdr:from>
    <xdr:to>
      <xdr:col>12</xdr:col>
      <xdr:colOff>2428875</xdr:colOff>
      <xdr:row>23</xdr:row>
      <xdr:rowOff>138097</xdr:rowOff>
    </xdr:to>
    <xdr:grpSp>
      <xdr:nvGrpSpPr>
        <xdr:cNvPr id="3" name="Grupo 2"/>
        <xdr:cNvGrpSpPr/>
      </xdr:nvGrpSpPr>
      <xdr:grpSpPr>
        <a:xfrm>
          <a:off x="3267075" y="3333750"/>
          <a:ext cx="4486275" cy="2024047"/>
          <a:chOff x="3514725" y="3333750"/>
          <a:chExt cx="4486275" cy="2024047"/>
        </a:xfrm>
      </xdr:grpSpPr>
      <xdr:pic>
        <xdr:nvPicPr>
          <xdr:cNvPr id="15" name="Imagem 14"/>
          <xdr:cNvPicPr>
            <a:picLocks noChangeAspect="1"/>
          </xdr:cNvPicPr>
        </xdr:nvPicPr>
        <xdr:blipFill>
          <a:blip xmlns:r="http://schemas.openxmlformats.org/officeDocument/2006/relationships" r:embed="rId7"/>
          <a:stretch>
            <a:fillRect/>
          </a:stretch>
        </xdr:blipFill>
        <xdr:spPr>
          <a:xfrm>
            <a:off x="3514725" y="3333750"/>
            <a:ext cx="2840982" cy="2024047"/>
          </a:xfrm>
          <a:prstGeom prst="rect">
            <a:avLst/>
          </a:prstGeom>
        </xdr:spPr>
      </xdr:pic>
      <xdr:sp macro="" textlink="">
        <xdr:nvSpPr>
          <xdr:cNvPr id="16" name="CaixaDeTexto 15"/>
          <xdr:cNvSpPr txBox="1"/>
        </xdr:nvSpPr>
        <xdr:spPr>
          <a:xfrm>
            <a:off x="6353175" y="5010150"/>
            <a:ext cx="1200149"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a:latin typeface="Cooper Black" panose="0208090404030B020404" pitchFamily="18" charset="0"/>
              </a:rPr>
              <a:t>In France</a:t>
            </a:r>
          </a:p>
        </xdr:txBody>
      </xdr:sp>
      <xdr:pic>
        <xdr:nvPicPr>
          <xdr:cNvPr id="19" name="irc_mi" descr="http://static.wixstatic.com/media/18f110_5ab10d69c3e04a6b8084d513e28ab6ab.png_srb_p_171_49_75_22_0.50_1.20_0.00_png_srb"/>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372225" y="4533900"/>
            <a:ext cx="1628775" cy="4572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1</xdr:col>
      <xdr:colOff>133351</xdr:colOff>
      <xdr:row>11</xdr:row>
      <xdr:rowOff>200025</xdr:rowOff>
    </xdr:from>
    <xdr:to>
      <xdr:col>6</xdr:col>
      <xdr:colOff>123826</xdr:colOff>
      <xdr:row>20</xdr:row>
      <xdr:rowOff>66675</xdr:rowOff>
    </xdr:to>
    <xdr:pic>
      <xdr:nvPicPr>
        <xdr:cNvPr id="20" name="Imagem 19" descr="C:\Users\cristinarodrigues\AppData\Local\Microsoft\Windows\Temporary Internet Files\Content.Word\11004637_1581591002056816_6847590323184820373_o.jpg"/>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10222"/>
        <a:stretch/>
      </xdr:blipFill>
      <xdr:spPr bwMode="auto">
        <a:xfrm>
          <a:off x="285751" y="2676525"/>
          <a:ext cx="2628900" cy="1924050"/>
        </a:xfrm>
        <a:prstGeom prst="rect">
          <a:avLst/>
        </a:prstGeom>
        <a:noFill/>
        <a:ln>
          <a:noFill/>
        </a:ln>
      </xdr:spPr>
    </xdr:pic>
    <xdr:clientData/>
  </xdr:twoCellAnchor>
  <xdr:twoCellAnchor>
    <xdr:from>
      <xdr:col>1</xdr:col>
      <xdr:colOff>76200</xdr:colOff>
      <xdr:row>23</xdr:row>
      <xdr:rowOff>171450</xdr:rowOff>
    </xdr:from>
    <xdr:to>
      <xdr:col>2</xdr:col>
      <xdr:colOff>228600</xdr:colOff>
      <xdr:row>25</xdr:row>
      <xdr:rowOff>27542</xdr:rowOff>
    </xdr:to>
    <xdr:pic>
      <xdr:nvPicPr>
        <xdr:cNvPr id="21" name="Imagem 1" descr="EU flag LLP EN-0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b="19753"/>
        <a:stretch>
          <a:fillRect/>
        </a:stretch>
      </xdr:blipFill>
      <xdr:spPr bwMode="auto">
        <a:xfrm>
          <a:off x="228600" y="5391150"/>
          <a:ext cx="1000125" cy="313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11</xdr:row>
      <xdr:rowOff>228599</xdr:rowOff>
    </xdr:from>
    <xdr:to>
      <xdr:col>6</xdr:col>
      <xdr:colOff>238125</xdr:colOff>
      <xdr:row>22</xdr:row>
      <xdr:rowOff>0</xdr:rowOff>
    </xdr:to>
    <xdr:sp macro="" textlink="">
      <xdr:nvSpPr>
        <xdr:cNvPr id="2" name="CaixaDeTexto 1"/>
        <xdr:cNvSpPr txBox="1"/>
      </xdr:nvSpPr>
      <xdr:spPr>
        <a:xfrm>
          <a:off x="152400" y="2705099"/>
          <a:ext cx="2876550" cy="22860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pt-PT" sz="1600" i="0">
              <a:latin typeface="Book Antiqua" panose="02040602050305030304" pitchFamily="18" charset="0"/>
            </a:rPr>
            <a:t>Liberty Day</a:t>
          </a:r>
        </a:p>
        <a:p>
          <a:pPr algn="ctr"/>
          <a:r>
            <a:rPr lang="pt-PT" sz="1600" i="1">
              <a:latin typeface="Book Antiqua" panose="02040602050305030304" pitchFamily="18" charset="0"/>
            </a:rPr>
            <a:t>Dia da Liberdade</a:t>
          </a:r>
        </a:p>
        <a:p>
          <a:pPr algn="l"/>
          <a:endParaRPr lang="pt-PT" sz="1100"/>
        </a:p>
        <a:p>
          <a:pPr algn="l"/>
          <a:endParaRPr lang="pt-PT" sz="1100"/>
        </a:p>
        <a:p>
          <a:pPr algn="l"/>
          <a:r>
            <a:rPr lang="pt-PT" sz="1200">
              <a:latin typeface="Book Antiqua" panose="02040602050305030304" pitchFamily="18" charset="0"/>
            </a:rPr>
            <a:t>On 25th April Portuguese people celebrate the "Carnations Revolution", name due to the use of carnation inside the guns' cannon by the soldiers. Therefore the dictatorship  of Salazar came to an end and a period of freedom and democracy rose.</a:t>
          </a:r>
        </a:p>
        <a:p>
          <a:pPr algn="l"/>
          <a:endParaRPr lang="pt-PT" sz="1200">
            <a:latin typeface="Book Antiqua" panose="02040602050305030304" pitchFamily="18" charset="0"/>
          </a:endParaRPr>
        </a:p>
      </xdr:txBody>
    </xdr:sp>
    <xdr:clientData/>
  </xdr:twoCellAnchor>
  <xdr:twoCellAnchor editAs="oneCell">
    <xdr:from>
      <xdr:col>6</xdr:col>
      <xdr:colOff>238125</xdr:colOff>
      <xdr:row>13</xdr:row>
      <xdr:rowOff>161925</xdr:rowOff>
    </xdr:from>
    <xdr:to>
      <xdr:col>9</xdr:col>
      <xdr:colOff>380440</xdr:colOff>
      <xdr:row>22</xdr:row>
      <xdr:rowOff>1</xdr:rowOff>
    </xdr:to>
    <xdr:pic>
      <xdr:nvPicPr>
        <xdr:cNvPr id="3" name="Picture 1" descr="http://1.bp.blogspot.com/_38qx2vtEwrk/S9SYiOWKHUI/AAAAAAAAAsQ/QBE6OFG1Apc/s1600/portugal_25abril1974.jpg"/>
        <xdr:cNvPicPr>
          <a:picLocks noChangeAspect="1" noChangeArrowheads="1"/>
        </xdr:cNvPicPr>
      </xdr:nvPicPr>
      <xdr:blipFill>
        <a:blip xmlns:r="http://schemas.openxmlformats.org/officeDocument/2006/relationships" r:embed="rId1"/>
        <a:srcRect b="9172"/>
        <a:stretch>
          <a:fillRect/>
        </a:stretch>
      </xdr:blipFill>
      <xdr:spPr bwMode="auto">
        <a:xfrm>
          <a:off x="3028950" y="3095625"/>
          <a:ext cx="1485340" cy="1895476"/>
        </a:xfrm>
        <a:prstGeom prst="rect">
          <a:avLst/>
        </a:prstGeom>
        <a:noFill/>
      </xdr:spPr>
    </xdr:pic>
    <xdr:clientData/>
  </xdr:twoCellAnchor>
  <xdr:twoCellAnchor editAs="oneCell">
    <xdr:from>
      <xdr:col>12</xdr:col>
      <xdr:colOff>2152650</xdr:colOff>
      <xdr:row>7</xdr:row>
      <xdr:rowOff>219075</xdr:rowOff>
    </xdr:from>
    <xdr:to>
      <xdr:col>12</xdr:col>
      <xdr:colOff>2524123</xdr:colOff>
      <xdr:row>8</xdr:row>
      <xdr:rowOff>209550</xdr:rowOff>
    </xdr:to>
    <xdr:pic>
      <xdr:nvPicPr>
        <xdr:cNvPr id="4" name="Imagem 3"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381875" y="1771650"/>
          <a:ext cx="371473"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2143125</xdr:colOff>
      <xdr:row>9</xdr:row>
      <xdr:rowOff>219074</xdr:rowOff>
    </xdr:from>
    <xdr:to>
      <xdr:col>12</xdr:col>
      <xdr:colOff>2514598</xdr:colOff>
      <xdr:row>10</xdr:row>
      <xdr:rowOff>228599</xdr:rowOff>
    </xdr:to>
    <xdr:pic>
      <xdr:nvPicPr>
        <xdr:cNvPr id="5" name="Imagem 4"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372350" y="2238374"/>
          <a:ext cx="371473"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76201</xdr:colOff>
      <xdr:row>7</xdr:row>
      <xdr:rowOff>28575</xdr:rowOff>
    </xdr:from>
    <xdr:to>
      <xdr:col>13</xdr:col>
      <xdr:colOff>333537</xdr:colOff>
      <xdr:row>7</xdr:row>
      <xdr:rowOff>200025</xdr:rowOff>
    </xdr:to>
    <xdr:pic>
      <xdr:nvPicPr>
        <xdr:cNvPr id="6" name="Imagem 5"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839076" y="1581150"/>
          <a:ext cx="257336" cy="1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438150</xdr:colOff>
      <xdr:row>0</xdr:row>
      <xdr:rowOff>133350</xdr:rowOff>
    </xdr:from>
    <xdr:to>
      <xdr:col>10</xdr:col>
      <xdr:colOff>114300</xdr:colOff>
      <xdr:row>2</xdr:row>
      <xdr:rowOff>238125</xdr:rowOff>
    </xdr:to>
    <xdr:pic>
      <xdr:nvPicPr>
        <xdr:cNvPr id="7" name="Imagem 6"/>
        <xdr:cNvPicPr/>
      </xdr:nvPicPr>
      <xdr:blipFill>
        <a:blip xmlns:r="http://schemas.openxmlformats.org/officeDocument/2006/relationships" r:embed="rId3"/>
        <a:stretch>
          <a:fillRect/>
        </a:stretch>
      </xdr:blipFill>
      <xdr:spPr>
        <a:xfrm>
          <a:off x="4124325" y="133350"/>
          <a:ext cx="571500" cy="476250"/>
        </a:xfrm>
        <a:prstGeom prst="rect">
          <a:avLst/>
        </a:prstGeom>
      </xdr:spPr>
    </xdr:pic>
    <xdr:clientData/>
  </xdr:twoCellAnchor>
  <xdr:twoCellAnchor editAs="oneCell">
    <xdr:from>
      <xdr:col>12</xdr:col>
      <xdr:colOff>2514600</xdr:colOff>
      <xdr:row>2</xdr:row>
      <xdr:rowOff>257175</xdr:rowOff>
    </xdr:from>
    <xdr:to>
      <xdr:col>13</xdr:col>
      <xdr:colOff>361950</xdr:colOff>
      <xdr:row>4</xdr:row>
      <xdr:rowOff>9525</xdr:rowOff>
    </xdr:to>
    <xdr:pic>
      <xdr:nvPicPr>
        <xdr:cNvPr id="8" name="Imagem 7" descr="http://www.suapesquisa.com/paises/italia/bandeira_da_italia.gif"/>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43825" y="628650"/>
          <a:ext cx="381000" cy="247650"/>
        </a:xfrm>
        <a:prstGeom prst="rect">
          <a:avLst/>
        </a:prstGeom>
        <a:noFill/>
        <a:ln>
          <a:noFill/>
        </a:ln>
      </xdr:spPr>
    </xdr:pic>
    <xdr:clientData/>
  </xdr:twoCellAnchor>
  <xdr:twoCellAnchor editAs="oneCell">
    <xdr:from>
      <xdr:col>12</xdr:col>
      <xdr:colOff>2162175</xdr:colOff>
      <xdr:row>3</xdr:row>
      <xdr:rowOff>219075</xdr:rowOff>
    </xdr:from>
    <xdr:to>
      <xdr:col>12</xdr:col>
      <xdr:colOff>2495550</xdr:colOff>
      <xdr:row>4</xdr:row>
      <xdr:rowOff>219075</xdr:rowOff>
    </xdr:to>
    <xdr:pic>
      <xdr:nvPicPr>
        <xdr:cNvPr id="9" name="Imagem 8"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391400" y="85725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2524125</xdr:colOff>
      <xdr:row>5</xdr:row>
      <xdr:rowOff>0</xdr:rowOff>
    </xdr:from>
    <xdr:to>
      <xdr:col>13</xdr:col>
      <xdr:colOff>323850</xdr:colOff>
      <xdr:row>6</xdr:row>
      <xdr:rowOff>9525</xdr:rowOff>
    </xdr:to>
    <xdr:pic>
      <xdr:nvPicPr>
        <xdr:cNvPr id="10" name="Imagem 9" descr="http://gartic.uol.com.br/imgs/mural/wo/wolfet/livre_1278882719.png"/>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753350" y="1095375"/>
          <a:ext cx="333375" cy="238125"/>
        </a:xfrm>
        <a:prstGeom prst="rect">
          <a:avLst/>
        </a:prstGeom>
        <a:noFill/>
        <a:ln>
          <a:noFill/>
        </a:ln>
      </xdr:spPr>
    </xdr:pic>
    <xdr:clientData/>
  </xdr:twoCellAnchor>
  <xdr:twoCellAnchor editAs="oneCell">
    <xdr:from>
      <xdr:col>12</xdr:col>
      <xdr:colOff>2133600</xdr:colOff>
      <xdr:row>5</xdr:row>
      <xdr:rowOff>219075</xdr:rowOff>
    </xdr:from>
    <xdr:to>
      <xdr:col>12</xdr:col>
      <xdr:colOff>2505075</xdr:colOff>
      <xdr:row>7</xdr:row>
      <xdr:rowOff>9525</xdr:rowOff>
    </xdr:to>
    <xdr:pic>
      <xdr:nvPicPr>
        <xdr:cNvPr id="11" name="Imagem 10" descr="http://www.suapesquisa.com/paises/italia/bandeira_da_italia.gif"/>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362825" y="1314450"/>
          <a:ext cx="371475" cy="247650"/>
        </a:xfrm>
        <a:prstGeom prst="rect">
          <a:avLst/>
        </a:prstGeom>
        <a:noFill/>
        <a:ln>
          <a:noFill/>
        </a:ln>
      </xdr:spPr>
    </xdr:pic>
    <xdr:clientData/>
  </xdr:twoCellAnchor>
  <xdr:twoCellAnchor editAs="oneCell">
    <xdr:from>
      <xdr:col>12</xdr:col>
      <xdr:colOff>2181226</xdr:colOff>
      <xdr:row>7</xdr:row>
      <xdr:rowOff>38100</xdr:rowOff>
    </xdr:from>
    <xdr:to>
      <xdr:col>12</xdr:col>
      <xdr:colOff>2486026</xdr:colOff>
      <xdr:row>7</xdr:row>
      <xdr:rowOff>190500</xdr:rowOff>
    </xdr:to>
    <xdr:pic>
      <xdr:nvPicPr>
        <xdr:cNvPr id="12" name="Imagem 11" descr="http://www.suapesquisa.com/paises/italia/bandeira_da_italia.gif"/>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410451" y="1590675"/>
          <a:ext cx="304800" cy="152400"/>
        </a:xfrm>
        <a:prstGeom prst="rect">
          <a:avLst/>
        </a:prstGeom>
        <a:noFill/>
        <a:ln>
          <a:noFill/>
        </a:ln>
      </xdr:spPr>
    </xdr:pic>
    <xdr:clientData/>
  </xdr:twoCellAnchor>
  <xdr:twoCellAnchor editAs="oneCell">
    <xdr:from>
      <xdr:col>12</xdr:col>
      <xdr:colOff>2505075</xdr:colOff>
      <xdr:row>9</xdr:row>
      <xdr:rowOff>0</xdr:rowOff>
    </xdr:from>
    <xdr:to>
      <xdr:col>13</xdr:col>
      <xdr:colOff>304800</xdr:colOff>
      <xdr:row>10</xdr:row>
      <xdr:rowOff>0</xdr:rowOff>
    </xdr:to>
    <xdr:pic>
      <xdr:nvPicPr>
        <xdr:cNvPr id="13"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734300" y="201930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2505075</xdr:colOff>
      <xdr:row>10</xdr:row>
      <xdr:rowOff>219075</xdr:rowOff>
    </xdr:from>
    <xdr:to>
      <xdr:col>13</xdr:col>
      <xdr:colOff>304800</xdr:colOff>
      <xdr:row>11</xdr:row>
      <xdr:rowOff>219075</xdr:rowOff>
    </xdr:to>
    <xdr:pic>
      <xdr:nvPicPr>
        <xdr:cNvPr id="14" name="Imagem 13" descr="http://upload.wikimedia.org/wikipedia/commons/thumb/7/73/Flag_of_Romania.svg/250px-Flag_of_Romania.svg.png"/>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734300" y="2466975"/>
          <a:ext cx="333375" cy="228600"/>
        </a:xfrm>
        <a:prstGeom prst="rect">
          <a:avLst/>
        </a:prstGeom>
        <a:noFill/>
        <a:ln>
          <a:noFill/>
        </a:ln>
      </xdr:spPr>
    </xdr:pic>
    <xdr:clientData/>
  </xdr:twoCellAnchor>
  <xdr:twoCellAnchor editAs="oneCell">
    <xdr:from>
      <xdr:col>12</xdr:col>
      <xdr:colOff>2152650</xdr:colOff>
      <xdr:row>12</xdr:row>
      <xdr:rowOff>19050</xdr:rowOff>
    </xdr:from>
    <xdr:to>
      <xdr:col>12</xdr:col>
      <xdr:colOff>2486025</xdr:colOff>
      <xdr:row>13</xdr:row>
      <xdr:rowOff>28575</xdr:rowOff>
    </xdr:to>
    <xdr:pic>
      <xdr:nvPicPr>
        <xdr:cNvPr id="15" name="Imagem 14" descr="http://gartic.uol.com.br/imgs/mural/wo/wolfet/livre_1278882719.png"/>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81875" y="2724150"/>
          <a:ext cx="333375" cy="238125"/>
        </a:xfrm>
        <a:prstGeom prst="rect">
          <a:avLst/>
        </a:prstGeom>
        <a:noFill/>
        <a:ln>
          <a:noFill/>
        </a:ln>
      </xdr:spPr>
    </xdr:pic>
    <xdr:clientData/>
  </xdr:twoCellAnchor>
  <xdr:twoCellAnchor>
    <xdr:from>
      <xdr:col>10</xdr:col>
      <xdr:colOff>76200</xdr:colOff>
      <xdr:row>14</xdr:row>
      <xdr:rowOff>19049</xdr:rowOff>
    </xdr:from>
    <xdr:to>
      <xdr:col>13</xdr:col>
      <xdr:colOff>57150</xdr:colOff>
      <xdr:row>31</xdr:row>
      <xdr:rowOff>104775</xdr:rowOff>
    </xdr:to>
    <xdr:sp macro="" textlink="">
      <xdr:nvSpPr>
        <xdr:cNvPr id="16" name="CaixaDeTexto 15"/>
        <xdr:cNvSpPr txBox="1"/>
      </xdr:nvSpPr>
      <xdr:spPr>
        <a:xfrm>
          <a:off x="4657725" y="3181349"/>
          <a:ext cx="3162300" cy="39719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it-IT" sz="1400" b="1">
              <a:solidFill>
                <a:schemeClr val="dk1"/>
              </a:solidFill>
              <a:effectLst/>
              <a:latin typeface="Book Antiqua" panose="02040602050305030304" pitchFamily="18" charset="0"/>
              <a:ea typeface="+mn-ea"/>
              <a:cs typeface="+mn-cs"/>
            </a:rPr>
            <a:t>Liberation Day 25 April</a:t>
          </a:r>
          <a:endParaRPr lang="pt-PT" sz="1400" b="1">
            <a:solidFill>
              <a:schemeClr val="dk1"/>
            </a:solidFill>
            <a:effectLst/>
            <a:latin typeface="Book Antiqua" panose="02040602050305030304" pitchFamily="18" charset="0"/>
            <a:ea typeface="+mn-ea"/>
            <a:cs typeface="+mn-cs"/>
          </a:endParaRPr>
        </a:p>
        <a:p>
          <a:endParaRPr lang="en-US"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The anniversary of the liberation of Italy  is celebrated in Italy on April 25 of each year.</a:t>
          </a:r>
          <a:br>
            <a:rPr lang="en-US" sz="1200">
              <a:solidFill>
                <a:schemeClr val="dk1"/>
              </a:solidFill>
              <a:latin typeface="Book Antiqua" pitchFamily="18" charset="0"/>
              <a:ea typeface="+mn-ea"/>
              <a:cs typeface="+mn-cs"/>
            </a:rPr>
          </a:br>
          <a:r>
            <a:rPr lang="en-US" sz="1200">
              <a:solidFill>
                <a:schemeClr val="dk1"/>
              </a:solidFill>
              <a:latin typeface="Book Antiqua" pitchFamily="18" charset="0"/>
              <a:ea typeface="+mn-ea"/>
              <a:cs typeface="+mn-cs"/>
            </a:rPr>
            <a:t>It is a crucial day for the history of Italy and has a  political and military meaning, as a symbol of the victorious struggle of resistance and military policy implemented by the partisan forces during World War II ,from 8 September 1943, against the fascist government  and the Nazi occupation.</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April 25, 1945 is the day when, at 8 am by radio, the Committee of National Liberation High Italy  proclaimed the insurgency in all territories still occupied by the fascists, ordering to all the partisan forces  of attacking  fascists and  establishing  the death sentence for all the fascist (included Mussolini, who would have been reached and shot three days later).</a:t>
          </a:r>
          <a:endParaRPr lang="pt-PT" sz="1200">
            <a:solidFill>
              <a:schemeClr val="dk1"/>
            </a:solidFill>
            <a:latin typeface="Book Antiqua" pitchFamily="18" charset="0"/>
            <a:ea typeface="+mn-ea"/>
            <a:cs typeface="+mn-cs"/>
          </a:endParaRPr>
        </a:p>
        <a:p>
          <a:endParaRPr lang="pt-PT" sz="1100"/>
        </a:p>
      </xdr:txBody>
    </xdr:sp>
    <xdr:clientData/>
  </xdr:twoCellAnchor>
  <xdr:twoCellAnchor editAs="oneCell">
    <xdr:from>
      <xdr:col>13</xdr:col>
      <xdr:colOff>257175</xdr:colOff>
      <xdr:row>19</xdr:row>
      <xdr:rowOff>47625</xdr:rowOff>
    </xdr:from>
    <xdr:to>
      <xdr:col>18</xdr:col>
      <xdr:colOff>314325</xdr:colOff>
      <xdr:row>27</xdr:row>
      <xdr:rowOff>4445</xdr:rowOff>
    </xdr:to>
    <xdr:pic>
      <xdr:nvPicPr>
        <xdr:cNvPr id="17" name="Immagine 4" descr="Risultati immagini per 25 aprile immagini"/>
        <xdr:cNvPicPr/>
      </xdr:nvPicPr>
      <xdr:blipFill>
        <a:blip xmlns:r="http://schemas.openxmlformats.org/officeDocument/2006/relationships" r:embed="rId8" cstate="print"/>
        <a:srcRect/>
        <a:stretch>
          <a:fillRect/>
        </a:stretch>
      </xdr:blipFill>
      <xdr:spPr bwMode="auto">
        <a:xfrm>
          <a:off x="8020050" y="4352925"/>
          <a:ext cx="2695575" cy="178562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13</xdr:col>
      <xdr:colOff>333375</xdr:colOff>
      <xdr:row>13</xdr:row>
      <xdr:rowOff>0</xdr:rowOff>
    </xdr:from>
    <xdr:to>
      <xdr:col>13</xdr:col>
      <xdr:colOff>704848</xdr:colOff>
      <xdr:row>14</xdr:row>
      <xdr:rowOff>0</xdr:rowOff>
    </xdr:to>
    <xdr:pic>
      <xdr:nvPicPr>
        <xdr:cNvPr id="5" name="Imagem 4"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86850" y="2933700"/>
          <a:ext cx="371473"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333375</xdr:colOff>
      <xdr:row>5</xdr:row>
      <xdr:rowOff>9525</xdr:rowOff>
    </xdr:from>
    <xdr:to>
      <xdr:col>13</xdr:col>
      <xdr:colOff>704848</xdr:colOff>
      <xdr:row>6</xdr:row>
      <xdr:rowOff>9525</xdr:rowOff>
    </xdr:to>
    <xdr:pic>
      <xdr:nvPicPr>
        <xdr:cNvPr id="6" name="Imagem 5"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86850" y="1104900"/>
          <a:ext cx="371473"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333375</xdr:colOff>
      <xdr:row>3</xdr:row>
      <xdr:rowOff>9525</xdr:rowOff>
    </xdr:from>
    <xdr:to>
      <xdr:col>13</xdr:col>
      <xdr:colOff>704848</xdr:colOff>
      <xdr:row>4</xdr:row>
      <xdr:rowOff>9525</xdr:rowOff>
    </xdr:to>
    <xdr:pic>
      <xdr:nvPicPr>
        <xdr:cNvPr id="7" name="Imagem 6"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86850" y="647700"/>
          <a:ext cx="371473"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409575</xdr:colOff>
      <xdr:row>1</xdr:row>
      <xdr:rowOff>19050</xdr:rowOff>
    </xdr:from>
    <xdr:to>
      <xdr:col>10</xdr:col>
      <xdr:colOff>85725</xdr:colOff>
      <xdr:row>3</xdr:row>
      <xdr:rowOff>0</xdr:rowOff>
    </xdr:to>
    <xdr:pic>
      <xdr:nvPicPr>
        <xdr:cNvPr id="12" name="Imagem 11"/>
        <xdr:cNvPicPr/>
      </xdr:nvPicPr>
      <xdr:blipFill>
        <a:blip xmlns:r="http://schemas.openxmlformats.org/officeDocument/2006/relationships" r:embed="rId2"/>
        <a:stretch>
          <a:fillRect/>
        </a:stretch>
      </xdr:blipFill>
      <xdr:spPr>
        <a:xfrm>
          <a:off x="4095750" y="161925"/>
          <a:ext cx="571500" cy="476250"/>
        </a:xfrm>
        <a:prstGeom prst="rect">
          <a:avLst/>
        </a:prstGeom>
      </xdr:spPr>
    </xdr:pic>
    <xdr:clientData/>
  </xdr:twoCellAnchor>
  <xdr:twoCellAnchor editAs="oneCell">
    <xdr:from>
      <xdr:col>12</xdr:col>
      <xdr:colOff>3390900</xdr:colOff>
      <xdr:row>3</xdr:row>
      <xdr:rowOff>219075</xdr:rowOff>
    </xdr:from>
    <xdr:to>
      <xdr:col>13</xdr:col>
      <xdr:colOff>333375</xdr:colOff>
      <xdr:row>5</xdr:row>
      <xdr:rowOff>9525</xdr:rowOff>
    </xdr:to>
    <xdr:pic>
      <xdr:nvPicPr>
        <xdr:cNvPr id="13" name="Imagem 12" descr="http://www.suapesquisa.com/paises/italia/bandeira_da_italia.gif"/>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15375" y="857250"/>
          <a:ext cx="371475" cy="247650"/>
        </a:xfrm>
        <a:prstGeom prst="rect">
          <a:avLst/>
        </a:prstGeom>
        <a:noFill/>
        <a:ln>
          <a:noFill/>
        </a:ln>
      </xdr:spPr>
    </xdr:pic>
    <xdr:clientData/>
  </xdr:twoCellAnchor>
  <xdr:twoCellAnchor editAs="oneCell">
    <xdr:from>
      <xdr:col>12</xdr:col>
      <xdr:colOff>3409950</xdr:colOff>
      <xdr:row>6</xdr:row>
      <xdr:rowOff>0</xdr:rowOff>
    </xdr:from>
    <xdr:to>
      <xdr:col>13</xdr:col>
      <xdr:colOff>314325</xdr:colOff>
      <xdr:row>7</xdr:row>
      <xdr:rowOff>9525</xdr:rowOff>
    </xdr:to>
    <xdr:pic>
      <xdr:nvPicPr>
        <xdr:cNvPr id="14" name="Imagem 13" descr="http://gartic.uol.com.br/imgs/mural/wo/wolfet/livre_1278882719.png"/>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734425" y="1323975"/>
          <a:ext cx="333375" cy="238125"/>
        </a:xfrm>
        <a:prstGeom prst="rect">
          <a:avLst/>
        </a:prstGeom>
        <a:noFill/>
        <a:ln>
          <a:noFill/>
        </a:ln>
      </xdr:spPr>
    </xdr:pic>
    <xdr:clientData/>
  </xdr:twoCellAnchor>
  <xdr:twoCellAnchor editAs="oneCell">
    <xdr:from>
      <xdr:col>13</xdr:col>
      <xdr:colOff>342900</xdr:colOff>
      <xdr:row>7</xdr:row>
      <xdr:rowOff>0</xdr:rowOff>
    </xdr:from>
    <xdr:to>
      <xdr:col>14</xdr:col>
      <xdr:colOff>0</xdr:colOff>
      <xdr:row>8</xdr:row>
      <xdr:rowOff>9525</xdr:rowOff>
    </xdr:to>
    <xdr:pic>
      <xdr:nvPicPr>
        <xdr:cNvPr id="15" name="Imagem 14" descr="http://www.suapesquisa.com/paises/italia/bandeira_da_italia.gif"/>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096375" y="1552575"/>
          <a:ext cx="371475" cy="247650"/>
        </a:xfrm>
        <a:prstGeom prst="rect">
          <a:avLst/>
        </a:prstGeom>
        <a:noFill/>
        <a:ln>
          <a:noFill/>
        </a:ln>
      </xdr:spPr>
    </xdr:pic>
    <xdr:clientData/>
  </xdr:twoCellAnchor>
  <xdr:twoCellAnchor editAs="oneCell">
    <xdr:from>
      <xdr:col>13</xdr:col>
      <xdr:colOff>0</xdr:colOff>
      <xdr:row>8</xdr:row>
      <xdr:rowOff>9525</xdr:rowOff>
    </xdr:from>
    <xdr:to>
      <xdr:col>13</xdr:col>
      <xdr:colOff>333375</xdr:colOff>
      <xdr:row>9</xdr:row>
      <xdr:rowOff>9525</xdr:rowOff>
    </xdr:to>
    <xdr:pic>
      <xdr:nvPicPr>
        <xdr:cNvPr id="16" name="Imagem 15" descr="http://upload.wikimedia.org/wikipedia/commons/thumb/7/73/Flag_of_Romania.svg/250px-Flag_of_Romania.svg.png"/>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53475" y="1800225"/>
          <a:ext cx="333375" cy="228600"/>
        </a:xfrm>
        <a:prstGeom prst="rect">
          <a:avLst/>
        </a:prstGeom>
        <a:noFill/>
        <a:ln>
          <a:noFill/>
        </a:ln>
      </xdr:spPr>
    </xdr:pic>
    <xdr:clientData/>
  </xdr:twoCellAnchor>
  <xdr:twoCellAnchor editAs="oneCell">
    <xdr:from>
      <xdr:col>13</xdr:col>
      <xdr:colOff>371475</xdr:colOff>
      <xdr:row>9</xdr:row>
      <xdr:rowOff>0</xdr:rowOff>
    </xdr:from>
    <xdr:to>
      <xdr:col>13</xdr:col>
      <xdr:colOff>704850</xdr:colOff>
      <xdr:row>10</xdr:row>
      <xdr:rowOff>9525</xdr:rowOff>
    </xdr:to>
    <xdr:pic>
      <xdr:nvPicPr>
        <xdr:cNvPr id="17" name="Imagem 16" descr="http://gartic.uol.com.br/imgs/mural/wo/wolfet/livre_1278882719.png"/>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124950" y="2019300"/>
          <a:ext cx="333375" cy="238125"/>
        </a:xfrm>
        <a:prstGeom prst="rect">
          <a:avLst/>
        </a:prstGeom>
        <a:noFill/>
        <a:ln>
          <a:noFill/>
        </a:ln>
      </xdr:spPr>
    </xdr:pic>
    <xdr:clientData/>
  </xdr:twoCellAnchor>
  <xdr:twoCellAnchor editAs="oneCell">
    <xdr:from>
      <xdr:col>13</xdr:col>
      <xdr:colOff>9525</xdr:colOff>
      <xdr:row>10</xdr:row>
      <xdr:rowOff>0</xdr:rowOff>
    </xdr:from>
    <xdr:to>
      <xdr:col>13</xdr:col>
      <xdr:colOff>342900</xdr:colOff>
      <xdr:row>11</xdr:row>
      <xdr:rowOff>0</xdr:rowOff>
    </xdr:to>
    <xdr:pic>
      <xdr:nvPicPr>
        <xdr:cNvPr id="18" name="Imagem 17"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763000" y="224790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371475</xdr:colOff>
      <xdr:row>11</xdr:row>
      <xdr:rowOff>0</xdr:rowOff>
    </xdr:from>
    <xdr:to>
      <xdr:col>13</xdr:col>
      <xdr:colOff>704850</xdr:colOff>
      <xdr:row>12</xdr:row>
      <xdr:rowOff>0</xdr:rowOff>
    </xdr:to>
    <xdr:pic>
      <xdr:nvPicPr>
        <xdr:cNvPr id="19" name="Imagem 18"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124950" y="247650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3419475</xdr:colOff>
      <xdr:row>12</xdr:row>
      <xdr:rowOff>9525</xdr:rowOff>
    </xdr:from>
    <xdr:to>
      <xdr:col>13</xdr:col>
      <xdr:colOff>361948</xdr:colOff>
      <xdr:row>13</xdr:row>
      <xdr:rowOff>9525</xdr:rowOff>
    </xdr:to>
    <xdr:pic>
      <xdr:nvPicPr>
        <xdr:cNvPr id="20" name="Imagem 19"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43950" y="2714625"/>
          <a:ext cx="371473"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285750</xdr:colOff>
      <xdr:row>22</xdr:row>
      <xdr:rowOff>38100</xdr:rowOff>
    </xdr:from>
    <xdr:to>
      <xdr:col>22</xdr:col>
      <xdr:colOff>361950</xdr:colOff>
      <xdr:row>23</xdr:row>
      <xdr:rowOff>123825</xdr:rowOff>
    </xdr:to>
    <xdr:sp macro="" textlink="">
      <xdr:nvSpPr>
        <xdr:cNvPr id="21" name="CaixaDeTexto 20"/>
        <xdr:cNvSpPr txBox="1"/>
      </xdr:nvSpPr>
      <xdr:spPr>
        <a:xfrm>
          <a:off x="12858750" y="5029200"/>
          <a:ext cx="1257300"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a:latin typeface="Cooper Black" panose="0208090404030B020404" pitchFamily="18" charset="0"/>
            </a:rPr>
            <a:t>In Romenia</a:t>
          </a:r>
        </a:p>
      </xdr:txBody>
    </xdr:sp>
    <xdr:clientData/>
  </xdr:twoCellAnchor>
  <xdr:twoCellAnchor editAs="oneCell">
    <xdr:from>
      <xdr:col>15</xdr:col>
      <xdr:colOff>47624</xdr:colOff>
      <xdr:row>2</xdr:row>
      <xdr:rowOff>38100</xdr:rowOff>
    </xdr:from>
    <xdr:to>
      <xdr:col>19</xdr:col>
      <xdr:colOff>514349</xdr:colOff>
      <xdr:row>11</xdr:row>
      <xdr:rowOff>76200</xdr:rowOff>
    </xdr:to>
    <xdr:pic>
      <xdr:nvPicPr>
        <xdr:cNvPr id="22" name="Imagem 21" descr="F:\P5130202.JPG"/>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667874" y="409575"/>
          <a:ext cx="2828925" cy="2143125"/>
        </a:xfrm>
        <a:prstGeom prst="rect">
          <a:avLst/>
        </a:prstGeom>
        <a:noFill/>
        <a:ln>
          <a:noFill/>
        </a:ln>
      </xdr:spPr>
    </xdr:pic>
    <xdr:clientData/>
  </xdr:twoCellAnchor>
  <xdr:twoCellAnchor>
    <xdr:from>
      <xdr:col>20</xdr:col>
      <xdr:colOff>66675</xdr:colOff>
      <xdr:row>10</xdr:row>
      <xdr:rowOff>9525</xdr:rowOff>
    </xdr:from>
    <xdr:to>
      <xdr:col>22</xdr:col>
      <xdr:colOff>142875</xdr:colOff>
      <xdr:row>11</xdr:row>
      <xdr:rowOff>95250</xdr:rowOff>
    </xdr:to>
    <xdr:sp macro="" textlink="">
      <xdr:nvSpPr>
        <xdr:cNvPr id="23" name="CaixaDeTexto 22"/>
        <xdr:cNvSpPr txBox="1"/>
      </xdr:nvSpPr>
      <xdr:spPr>
        <a:xfrm>
          <a:off x="12639675" y="2257425"/>
          <a:ext cx="1257300"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a:latin typeface="Cooper Black" panose="0208090404030B020404" pitchFamily="18" charset="0"/>
            </a:rPr>
            <a:t>In Portugal</a:t>
          </a:r>
        </a:p>
      </xdr:txBody>
    </xdr:sp>
    <xdr:clientData/>
  </xdr:twoCellAnchor>
  <xdr:twoCellAnchor>
    <xdr:from>
      <xdr:col>1</xdr:col>
      <xdr:colOff>38101</xdr:colOff>
      <xdr:row>10</xdr:row>
      <xdr:rowOff>104776</xdr:rowOff>
    </xdr:from>
    <xdr:to>
      <xdr:col>9</xdr:col>
      <xdr:colOff>400051</xdr:colOff>
      <xdr:row>40</xdr:row>
      <xdr:rowOff>104775</xdr:rowOff>
    </xdr:to>
    <xdr:grpSp>
      <xdr:nvGrpSpPr>
        <xdr:cNvPr id="32" name="Grupo 31"/>
        <xdr:cNvGrpSpPr/>
      </xdr:nvGrpSpPr>
      <xdr:grpSpPr>
        <a:xfrm>
          <a:off x="190501" y="2352676"/>
          <a:ext cx="4343400" cy="6724649"/>
          <a:chOff x="190501" y="2352676"/>
          <a:chExt cx="4343400" cy="6724649"/>
        </a:xfrm>
      </xdr:grpSpPr>
      <xdr:sp macro="" textlink="">
        <xdr:nvSpPr>
          <xdr:cNvPr id="24" name="CaixaDeTexto 23"/>
          <xdr:cNvSpPr txBox="1"/>
        </xdr:nvSpPr>
        <xdr:spPr>
          <a:xfrm>
            <a:off x="190501" y="2895600"/>
            <a:ext cx="4343400" cy="41052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r"/>
            <a:r>
              <a:rPr lang="pt-PT" sz="1600" i="0">
                <a:solidFill>
                  <a:schemeClr val="dk1"/>
                </a:solidFill>
                <a:latin typeface="Book Antiqua" pitchFamily="18" charset="0"/>
                <a:ea typeface="+mn-ea"/>
                <a:cs typeface="+mn-cs"/>
              </a:rPr>
              <a:t>Celebration of Saint </a:t>
            </a:r>
            <a:r>
              <a:rPr lang="pt-PT" sz="1600" i="1">
                <a:solidFill>
                  <a:schemeClr val="dk1"/>
                </a:solidFill>
                <a:latin typeface="Book Antiqua" pitchFamily="18" charset="0"/>
                <a:ea typeface="+mn-ea"/>
                <a:cs typeface="+mn-cs"/>
              </a:rPr>
              <a:t>Isidro</a:t>
            </a:r>
            <a:endParaRPr lang="pt-PT" sz="1600">
              <a:latin typeface="Book Antiqua" pitchFamily="18" charset="0"/>
            </a:endParaRPr>
          </a:p>
          <a:p>
            <a:pPr algn="r"/>
            <a:r>
              <a:rPr lang="pt-PT" sz="1600" i="1">
                <a:solidFill>
                  <a:schemeClr val="dk1"/>
                </a:solidFill>
                <a:latin typeface="Book Antiqua" pitchFamily="18" charset="0"/>
                <a:ea typeface="+mn-ea"/>
                <a:cs typeface="+mn-cs"/>
              </a:rPr>
              <a:t>Fiesta de San Ididro</a:t>
            </a:r>
            <a:endParaRPr lang="pt-PT" sz="1600">
              <a:latin typeface="Book Antiqua" pitchFamily="18" charset="0"/>
            </a:endParaRPr>
          </a:p>
          <a:p>
            <a:endParaRPr lang="pt-PT" sz="16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The </a:t>
            </a:r>
            <a:r>
              <a:rPr lang="en-US" sz="1200" i="1">
                <a:solidFill>
                  <a:schemeClr val="dk1"/>
                </a:solidFill>
                <a:latin typeface="Book Antiqua" pitchFamily="18" charset="0"/>
                <a:ea typeface="+mn-ea"/>
                <a:cs typeface="+mn-cs"/>
              </a:rPr>
              <a:t>San Isidro's</a:t>
            </a:r>
            <a:r>
              <a:rPr lang="en-US" sz="1200" i="1" baseline="0">
                <a:solidFill>
                  <a:schemeClr val="dk1"/>
                </a:solidFill>
                <a:latin typeface="Book Antiqua" pitchFamily="18" charset="0"/>
                <a:ea typeface="+mn-ea"/>
                <a:cs typeface="+mn-cs"/>
              </a:rPr>
              <a:t> day</a:t>
            </a:r>
            <a:r>
              <a:rPr lang="en-US" sz="1200">
                <a:solidFill>
                  <a:schemeClr val="dk1"/>
                </a:solidFill>
                <a:latin typeface="Book Antiqua" pitchFamily="18" charset="0"/>
                <a:ea typeface="+mn-ea"/>
                <a:cs typeface="+mn-cs"/>
              </a:rPr>
              <a:t> is a celebration of the Patron Saint of Madrid. It happens on 15 May and it's a chance to see the locals in traditional costumes. </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During the day, costumes from the 19th century are worn.</a:t>
            </a:r>
          </a:p>
          <a:p>
            <a:r>
              <a:rPr lang="en-US" sz="1200">
                <a:solidFill>
                  <a:schemeClr val="dk1"/>
                </a:solidFill>
                <a:latin typeface="Book Antiqua" pitchFamily="18" charset="0"/>
                <a:ea typeface="+mn-ea"/>
                <a:cs typeface="+mn-cs"/>
              </a:rPr>
              <a:t>Many people head to the chapel in order to pay their respects to their saint. </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On the Sunday nearest to 15 May, the traditional food for everyone is offered in the </a:t>
            </a:r>
            <a:r>
              <a:rPr lang="en-US" sz="1200" i="1">
                <a:solidFill>
                  <a:schemeClr val="dk1"/>
                </a:solidFill>
                <a:latin typeface="Book Antiqua" pitchFamily="18" charset="0"/>
                <a:ea typeface="+mn-ea"/>
                <a:cs typeface="+mn-cs"/>
              </a:rPr>
              <a:t>Plaza Mayor</a:t>
            </a:r>
            <a:r>
              <a:rPr lang="en-US" sz="1200">
                <a:solidFill>
                  <a:schemeClr val="dk1"/>
                </a:solidFill>
                <a:latin typeface="Book Antiqua" pitchFamily="18" charset="0"/>
                <a:ea typeface="+mn-ea"/>
                <a:cs typeface="+mn-cs"/>
              </a:rPr>
              <a:t>. The food will usually be a typical </a:t>
            </a:r>
            <a:r>
              <a:rPr lang="en-US" sz="1200" i="1">
                <a:solidFill>
                  <a:schemeClr val="dk1"/>
                </a:solidFill>
                <a:latin typeface="Book Antiqua" pitchFamily="18" charset="0"/>
                <a:ea typeface="+mn-ea"/>
                <a:cs typeface="+mn-cs"/>
              </a:rPr>
              <a:t>Callos</a:t>
            </a:r>
            <a:r>
              <a:rPr lang="en-US" sz="1200" i="0">
                <a:solidFill>
                  <a:schemeClr val="dk1"/>
                </a:solidFill>
                <a:latin typeface="Book Antiqua" pitchFamily="18" charset="0"/>
                <a:ea typeface="+mn-ea"/>
                <a:cs typeface="+mn-cs"/>
              </a:rPr>
              <a:t>,</a:t>
            </a:r>
            <a:r>
              <a:rPr lang="en-US" sz="1200" i="0" baseline="0">
                <a:solidFill>
                  <a:schemeClr val="dk1"/>
                </a:solidFill>
                <a:latin typeface="Book Antiqua" pitchFamily="18" charset="0"/>
                <a:ea typeface="+mn-ea"/>
                <a:cs typeface="+mn-cs"/>
              </a:rPr>
              <a:t> a </a:t>
            </a:r>
            <a:r>
              <a:rPr lang="en-US" sz="1200">
                <a:solidFill>
                  <a:schemeClr val="dk1"/>
                </a:solidFill>
                <a:latin typeface="Book Antiqua" pitchFamily="18" charset="0"/>
                <a:ea typeface="+mn-ea"/>
                <a:cs typeface="+mn-cs"/>
              </a:rPr>
              <a:t> stew from</a:t>
            </a:r>
            <a:r>
              <a:rPr lang="en-US" sz="1200" baseline="0">
                <a:solidFill>
                  <a:schemeClr val="dk1"/>
                </a:solidFill>
                <a:latin typeface="Book Antiqua" pitchFamily="18" charset="0"/>
                <a:ea typeface="+mn-ea"/>
                <a:cs typeface="+mn-cs"/>
              </a:rPr>
              <a:t> the city m</a:t>
            </a:r>
            <a:r>
              <a:rPr lang="en-US" sz="1200">
                <a:solidFill>
                  <a:schemeClr val="dk1"/>
                </a:solidFill>
                <a:latin typeface="Book Antiqua" pitchFamily="18" charset="0"/>
                <a:ea typeface="+mn-ea"/>
                <a:cs typeface="+mn-cs"/>
              </a:rPr>
              <a:t>ade with tripe. As well as free food, you can enjoy many types of music, including folk, flamenco, pop and rock. These concerts are around both the </a:t>
            </a:r>
            <a:r>
              <a:rPr lang="en-US" sz="1200" i="1">
                <a:solidFill>
                  <a:schemeClr val="dk1"/>
                </a:solidFill>
                <a:latin typeface="Book Antiqua" pitchFamily="18" charset="0"/>
                <a:ea typeface="+mn-ea"/>
                <a:cs typeface="+mn-cs"/>
              </a:rPr>
              <a:t>Plaza Mayor </a:t>
            </a:r>
            <a:r>
              <a:rPr lang="en-US" sz="1200">
                <a:solidFill>
                  <a:schemeClr val="dk1"/>
                </a:solidFill>
                <a:latin typeface="Book Antiqua" pitchFamily="18" charset="0"/>
                <a:ea typeface="+mn-ea"/>
                <a:cs typeface="+mn-cs"/>
              </a:rPr>
              <a:t>and the </a:t>
            </a:r>
            <a:r>
              <a:rPr lang="en-US" sz="1200" i="1">
                <a:solidFill>
                  <a:schemeClr val="dk1"/>
                </a:solidFill>
                <a:latin typeface="Book Antiqua" pitchFamily="18" charset="0"/>
                <a:ea typeface="+mn-ea"/>
                <a:cs typeface="+mn-cs"/>
              </a:rPr>
              <a:t>Vistillas </a:t>
            </a:r>
            <a:r>
              <a:rPr lang="en-US" sz="1200">
                <a:solidFill>
                  <a:schemeClr val="dk1"/>
                </a:solidFill>
                <a:latin typeface="Book Antiqua" pitchFamily="18" charset="0"/>
                <a:ea typeface="+mn-ea"/>
                <a:cs typeface="+mn-cs"/>
              </a:rPr>
              <a:t>gardens.</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You</a:t>
            </a:r>
            <a:r>
              <a:rPr lang="en-US" sz="1200" baseline="0">
                <a:solidFill>
                  <a:schemeClr val="dk1"/>
                </a:solidFill>
                <a:latin typeface="Book Antiqua" pitchFamily="18" charset="0"/>
                <a:ea typeface="+mn-ea"/>
                <a:cs typeface="+mn-cs"/>
              </a:rPr>
              <a:t> </a:t>
            </a:r>
            <a:r>
              <a:rPr lang="en-US" sz="1200">
                <a:solidFill>
                  <a:schemeClr val="dk1"/>
                </a:solidFill>
                <a:latin typeface="Book Antiqua" pitchFamily="18" charset="0"/>
                <a:ea typeface="+mn-ea"/>
                <a:cs typeface="+mn-cs"/>
              </a:rPr>
              <a:t>also get the chance to sample </a:t>
            </a:r>
            <a:r>
              <a:rPr lang="en-US" sz="1200" i="1">
                <a:solidFill>
                  <a:schemeClr val="dk1"/>
                </a:solidFill>
                <a:latin typeface="Book Antiqua" pitchFamily="18" charset="0"/>
                <a:ea typeface="+mn-ea"/>
                <a:cs typeface="+mn-cs"/>
              </a:rPr>
              <a:t>barquillos</a:t>
            </a:r>
            <a:r>
              <a:rPr lang="en-US" sz="1200">
                <a:solidFill>
                  <a:schemeClr val="dk1"/>
                </a:solidFill>
                <a:latin typeface="Book Antiqua" pitchFamily="18" charset="0"/>
                <a:ea typeface="+mn-ea"/>
                <a:cs typeface="+mn-cs"/>
              </a:rPr>
              <a:t> (wafer-like desserts) and </a:t>
            </a:r>
            <a:r>
              <a:rPr lang="en-US" sz="1200" i="1">
                <a:solidFill>
                  <a:schemeClr val="dk1"/>
                </a:solidFill>
                <a:latin typeface="Book Antiqua" pitchFamily="18" charset="0"/>
                <a:ea typeface="+mn-ea"/>
                <a:cs typeface="+mn-cs"/>
              </a:rPr>
              <a:t>buñuelos</a:t>
            </a:r>
            <a:r>
              <a:rPr lang="en-US" sz="1200">
                <a:solidFill>
                  <a:schemeClr val="dk1"/>
                </a:solidFill>
                <a:latin typeface="Book Antiqua" pitchFamily="18" charset="0"/>
                <a:ea typeface="+mn-ea"/>
                <a:cs typeface="+mn-cs"/>
              </a:rPr>
              <a:t> (fried balls like donuts). The locals make a pilgrimage to the Saints Meadow, and drink from the fountain.</a:t>
            </a:r>
            <a:endParaRPr lang="pt-PT" sz="1200">
              <a:solidFill>
                <a:schemeClr val="dk1"/>
              </a:solidFill>
              <a:latin typeface="Book Antiqua" pitchFamily="18" charset="0"/>
              <a:ea typeface="+mn-ea"/>
              <a:cs typeface="+mn-cs"/>
            </a:endParaRPr>
          </a:p>
          <a:p>
            <a:endParaRPr lang="pt-PT" sz="1100">
              <a:latin typeface="Book Antiqua" pitchFamily="18" charset="0"/>
            </a:endParaRPr>
          </a:p>
        </xdr:txBody>
      </xdr:sp>
      <xdr:pic>
        <xdr:nvPicPr>
          <xdr:cNvPr id="26" name="Imagen 1" descr="http://www.turismomadrid.net/wp-content/uploads/2012/11/CALLOS1.jpg"/>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23850" y="2352676"/>
            <a:ext cx="1485900" cy="1219742"/>
          </a:xfrm>
          <a:prstGeom prst="rect">
            <a:avLst/>
          </a:prstGeom>
          <a:noFill/>
          <a:ln>
            <a:noFill/>
          </a:ln>
        </xdr:spPr>
      </xdr:pic>
      <xdr:pic>
        <xdr:nvPicPr>
          <xdr:cNvPr id="27" name="Imagen 2" descr="http://cdn.20minutos.es/img/2007/05/23/598331.jpg"/>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81050" y="6772275"/>
            <a:ext cx="2828925" cy="2305050"/>
          </a:xfrm>
          <a:prstGeom prst="rect">
            <a:avLst/>
          </a:prstGeom>
          <a:noFill/>
          <a:ln>
            <a:noFill/>
          </a:ln>
        </xdr:spPr>
      </xdr:pic>
    </xdr:grpSp>
    <xdr:clientData/>
  </xdr:twoCellAnchor>
  <xdr:twoCellAnchor>
    <xdr:from>
      <xdr:col>10</xdr:col>
      <xdr:colOff>228600</xdr:colOff>
      <xdr:row>16</xdr:row>
      <xdr:rowOff>57150</xdr:rowOff>
    </xdr:from>
    <xdr:to>
      <xdr:col>14</xdr:col>
      <xdr:colOff>47625</xdr:colOff>
      <xdr:row>40</xdr:row>
      <xdr:rowOff>41467</xdr:rowOff>
    </xdr:to>
    <xdr:grpSp>
      <xdr:nvGrpSpPr>
        <xdr:cNvPr id="33" name="Grupo 32"/>
        <xdr:cNvGrpSpPr/>
      </xdr:nvGrpSpPr>
      <xdr:grpSpPr>
        <a:xfrm>
          <a:off x="4810125" y="3676650"/>
          <a:ext cx="4705350" cy="5337367"/>
          <a:chOff x="4810125" y="3676650"/>
          <a:chExt cx="4705350" cy="5337367"/>
        </a:xfrm>
      </xdr:grpSpPr>
      <xdr:sp macro="" textlink="">
        <xdr:nvSpPr>
          <xdr:cNvPr id="28" name="CaixaDeTexto 27"/>
          <xdr:cNvSpPr txBox="1"/>
        </xdr:nvSpPr>
        <xdr:spPr>
          <a:xfrm>
            <a:off x="4810125" y="4362449"/>
            <a:ext cx="4705350" cy="212407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200">
                <a:solidFill>
                  <a:schemeClr val="dk1"/>
                </a:solidFill>
                <a:latin typeface="Book Antiqua" pitchFamily="18" charset="0"/>
                <a:ea typeface="+mn-ea"/>
                <a:cs typeface="+mn-cs"/>
              </a:rPr>
              <a:t>This is a celebration by the community of Madrid in remembrance of their defeat over the french invasion. </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During the fiesta concerts are held, people dance on the streets and there are sports events. </a:t>
            </a:r>
          </a:p>
          <a:p>
            <a:r>
              <a:rPr lang="en-US" sz="1200">
                <a:solidFill>
                  <a:schemeClr val="dk1"/>
                </a:solidFill>
                <a:latin typeface="Book Antiqua" pitchFamily="18" charset="0"/>
                <a:ea typeface="+mn-ea"/>
                <a:cs typeface="+mn-cs"/>
              </a:rPr>
              <a:t>On the night of May 1st you can see an enormous fireworks display in the </a:t>
            </a:r>
            <a:r>
              <a:rPr lang="en-US" sz="1200" i="1">
                <a:solidFill>
                  <a:schemeClr val="dk1"/>
                </a:solidFill>
                <a:latin typeface="Book Antiqua" pitchFamily="18" charset="0"/>
                <a:ea typeface="+mn-ea"/>
                <a:cs typeface="+mn-cs"/>
              </a:rPr>
              <a:t>Jardines de las Vistillas </a:t>
            </a:r>
            <a:r>
              <a:rPr lang="en-US" sz="1200">
                <a:solidFill>
                  <a:schemeClr val="dk1"/>
                </a:solidFill>
                <a:latin typeface="Book Antiqua" pitchFamily="18" charset="0"/>
                <a:ea typeface="+mn-ea"/>
                <a:cs typeface="+mn-cs"/>
              </a:rPr>
              <a:t>(Vistillas Gardens). </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In the afternoon of 2nd May you will usually see a military display in the </a:t>
            </a:r>
            <a:r>
              <a:rPr lang="en-US" sz="1200" i="1">
                <a:solidFill>
                  <a:schemeClr val="dk1"/>
                </a:solidFill>
                <a:latin typeface="Book Antiqua" pitchFamily="18" charset="0"/>
                <a:ea typeface="+mn-ea"/>
                <a:cs typeface="+mn-cs"/>
              </a:rPr>
              <a:t>Plaza de Oriente</a:t>
            </a:r>
            <a:r>
              <a:rPr lang="en-US" sz="1200">
                <a:solidFill>
                  <a:schemeClr val="dk1"/>
                </a:solidFill>
                <a:latin typeface="Book Antiqua" pitchFamily="18" charset="0"/>
                <a:ea typeface="+mn-ea"/>
                <a:cs typeface="+mn-cs"/>
              </a:rPr>
              <a:t>, which commemorates the victory of Madrid over the invasion of Napoleons troupes in</a:t>
            </a:r>
            <a:r>
              <a:rPr lang="en-US" sz="1200" baseline="0">
                <a:solidFill>
                  <a:schemeClr val="dk1"/>
                </a:solidFill>
                <a:latin typeface="Book Antiqua" pitchFamily="18" charset="0"/>
                <a:ea typeface="+mn-ea"/>
                <a:cs typeface="+mn-cs"/>
              </a:rPr>
              <a:t> the year of 1800</a:t>
            </a:r>
            <a:r>
              <a:rPr lang="en-US" sz="1200">
                <a:solidFill>
                  <a:schemeClr val="dk1"/>
                </a:solidFill>
                <a:latin typeface="Book Antiqua" pitchFamily="18" charset="0"/>
                <a:ea typeface="+mn-ea"/>
                <a:cs typeface="+mn-cs"/>
              </a:rPr>
              <a:t>.</a:t>
            </a:r>
            <a:endParaRPr lang="pt-PT" sz="1200">
              <a:solidFill>
                <a:schemeClr val="dk1"/>
              </a:solidFill>
              <a:latin typeface="Book Antiqua" pitchFamily="18" charset="0"/>
              <a:ea typeface="+mn-ea"/>
              <a:cs typeface="+mn-cs"/>
            </a:endParaRPr>
          </a:p>
          <a:p>
            <a:r>
              <a:rPr lang="en-US" sz="1200">
                <a:solidFill>
                  <a:schemeClr val="dk1"/>
                </a:solidFill>
                <a:latin typeface="Book Antiqua" pitchFamily="18" charset="0"/>
                <a:ea typeface="+mn-ea"/>
                <a:cs typeface="+mn-cs"/>
              </a:rPr>
              <a:t>This is a time when the city's residents show their pride at being </a:t>
            </a:r>
            <a:r>
              <a:rPr lang="en-US" sz="1200" i="1">
                <a:solidFill>
                  <a:schemeClr val="dk1"/>
                </a:solidFill>
                <a:latin typeface="Book Antiqua" pitchFamily="18" charset="0"/>
                <a:ea typeface="+mn-ea"/>
                <a:cs typeface="+mn-cs"/>
              </a:rPr>
              <a:t>Madrileños</a:t>
            </a:r>
            <a:r>
              <a:rPr lang="en-US" sz="1200">
                <a:solidFill>
                  <a:schemeClr val="dk1"/>
                </a:solidFill>
                <a:latin typeface="Book Antiqua" pitchFamily="18" charset="0"/>
                <a:ea typeface="+mn-ea"/>
                <a:cs typeface="+mn-cs"/>
              </a:rPr>
              <a:t>. </a:t>
            </a:r>
            <a:endParaRPr lang="pt-PT" sz="1200">
              <a:solidFill>
                <a:schemeClr val="dk1"/>
              </a:solidFill>
              <a:latin typeface="Book Antiqua" pitchFamily="18" charset="0"/>
              <a:ea typeface="+mn-ea"/>
              <a:cs typeface="+mn-cs"/>
            </a:endParaRPr>
          </a:p>
          <a:p>
            <a:endParaRPr lang="pt-PT" sz="1100"/>
          </a:p>
        </xdr:txBody>
      </xdr:sp>
      <xdr:sp macro="" textlink="">
        <xdr:nvSpPr>
          <xdr:cNvPr id="29" name="CaixaDeTexto 28"/>
          <xdr:cNvSpPr txBox="1"/>
        </xdr:nvSpPr>
        <xdr:spPr>
          <a:xfrm>
            <a:off x="5667375" y="3676650"/>
            <a:ext cx="2847975" cy="5905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pt-PT" sz="1600" i="0">
                <a:latin typeface="Book Antiqua" pitchFamily="18" charset="0"/>
              </a:rPr>
              <a:t>The Second of May</a:t>
            </a:r>
          </a:p>
          <a:p>
            <a:pPr algn="ctr"/>
            <a:r>
              <a:rPr lang="pt-PT" sz="1600" i="1">
                <a:latin typeface="Book Antiqua" pitchFamily="18" charset="0"/>
              </a:rPr>
              <a:t>Segundo de Mayo</a:t>
            </a:r>
          </a:p>
        </xdr:txBody>
      </xdr:sp>
      <xdr:pic>
        <xdr:nvPicPr>
          <xdr:cNvPr id="30" name="Imagen 4" descr="http://www.biografiasyvidas.com/monografia/goya/fotos/22g.jpg"/>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429249" y="6629401"/>
            <a:ext cx="3332311" cy="2384616"/>
          </a:xfrm>
          <a:prstGeom prst="rect">
            <a:avLst/>
          </a:prstGeom>
          <a:noFill/>
          <a:ln>
            <a:noFill/>
          </a:ln>
        </xdr:spPr>
      </xdr:pic>
    </xdr:grpSp>
    <xdr:clientData/>
  </xdr:twoCellAnchor>
  <xdr:twoCellAnchor>
    <xdr:from>
      <xdr:col>20</xdr:col>
      <xdr:colOff>304800</xdr:colOff>
      <xdr:row>8</xdr:row>
      <xdr:rowOff>0</xdr:rowOff>
    </xdr:from>
    <xdr:to>
      <xdr:col>22</xdr:col>
      <xdr:colOff>38100</xdr:colOff>
      <xdr:row>10</xdr:row>
      <xdr:rowOff>0</xdr:rowOff>
    </xdr:to>
    <xdr:pic>
      <xdr:nvPicPr>
        <xdr:cNvPr id="25" name="Imagem 24" descr="logo escola pequeno"/>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2877800" y="1790700"/>
          <a:ext cx="914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20</xdr:col>
      <xdr:colOff>390526</xdr:colOff>
      <xdr:row>16</xdr:row>
      <xdr:rowOff>209550</xdr:rowOff>
    </xdr:from>
    <xdr:to>
      <xdr:col>22</xdr:col>
      <xdr:colOff>313998</xdr:colOff>
      <xdr:row>21</xdr:row>
      <xdr:rowOff>190500</xdr:rowOff>
    </xdr:to>
    <xdr:pic>
      <xdr:nvPicPr>
        <xdr:cNvPr id="31" name="Imagem 30" descr="LOGO SCOALA 2 2014-3 STD"/>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5002" t="3297"/>
        <a:stretch>
          <a:fillRect/>
        </a:stretch>
      </xdr:blipFill>
      <xdr:spPr bwMode="auto">
        <a:xfrm>
          <a:off x="12963526" y="3829050"/>
          <a:ext cx="1104572"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161925</xdr:colOff>
      <xdr:row>14</xdr:row>
      <xdr:rowOff>133351</xdr:rowOff>
    </xdr:from>
    <xdr:to>
      <xdr:col>20</xdr:col>
      <xdr:colOff>47625</xdr:colOff>
      <xdr:row>23</xdr:row>
      <xdr:rowOff>133351</xdr:rowOff>
    </xdr:to>
    <xdr:pic>
      <xdr:nvPicPr>
        <xdr:cNvPr id="34" name="Imagem 33" descr="C:\Users\Zeza\Desktop\Fotos\Comenius\Roménia 10-15-5-2015\DSC00804.JPG"/>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10046"/>
        <a:stretch/>
      </xdr:blipFill>
      <xdr:spPr bwMode="auto">
        <a:xfrm>
          <a:off x="9782175" y="3295651"/>
          <a:ext cx="2838450" cy="20574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161925</xdr:colOff>
      <xdr:row>12</xdr:row>
      <xdr:rowOff>219075</xdr:rowOff>
    </xdr:from>
    <xdr:to>
      <xdr:col>7</xdr:col>
      <xdr:colOff>85725</xdr:colOff>
      <xdr:row>21</xdr:row>
      <xdr:rowOff>95250</xdr:rowOff>
    </xdr:to>
    <xdr:sp macro="" textlink="">
      <xdr:nvSpPr>
        <xdr:cNvPr id="3" name="CaixaDeTexto 2"/>
        <xdr:cNvSpPr txBox="1"/>
      </xdr:nvSpPr>
      <xdr:spPr>
        <a:xfrm>
          <a:off x="314325" y="2924175"/>
          <a:ext cx="3009900" cy="19335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pt-PT" sz="1600" i="0">
              <a:latin typeface="Book Antiqua" pitchFamily="18" charset="0"/>
            </a:rPr>
            <a:t>The Music Festival</a:t>
          </a:r>
        </a:p>
        <a:p>
          <a:pPr algn="ctr"/>
          <a:r>
            <a:rPr lang="pt-PT" sz="1600" i="1">
              <a:latin typeface="Book Antiqua" pitchFamily="18" charset="0"/>
            </a:rPr>
            <a:t>La fête</a:t>
          </a:r>
          <a:r>
            <a:rPr lang="pt-PT" sz="1600" i="1" baseline="0">
              <a:latin typeface="Book Antiqua" pitchFamily="18" charset="0"/>
            </a:rPr>
            <a:t> de la musique </a:t>
          </a:r>
        </a:p>
        <a:p>
          <a:pPr marL="0" marR="0" indent="0" algn="l" defTabSz="914400" eaLnBrk="1" fontAlgn="auto" latinLnBrk="0" hangingPunct="1">
            <a:lnSpc>
              <a:spcPct val="100000"/>
            </a:lnSpc>
            <a:spcBef>
              <a:spcPts val="0"/>
            </a:spcBef>
            <a:spcAft>
              <a:spcPts val="0"/>
            </a:spcAft>
            <a:buClrTx/>
            <a:buSzTx/>
            <a:buFontTx/>
            <a:buNone/>
            <a:tabLst/>
            <a:defRPr/>
          </a:pPr>
          <a:endParaRPr lang="en-US" sz="1100">
            <a:solidFill>
              <a:schemeClr val="dk1"/>
            </a:solidFill>
            <a:latin typeface="+mn-lt"/>
            <a:ea typeface="+mn-ea"/>
            <a:cs typeface="+mn-cs"/>
          </a:endParaRPr>
        </a:p>
        <a:p>
          <a:pPr marL="0" marR="0" indent="0" algn="l" defTabSz="914400" eaLnBrk="1" fontAlgn="auto" latinLnBrk="0" hangingPunct="1">
            <a:lnSpc>
              <a:spcPct val="100000"/>
            </a:lnSpc>
            <a:spcBef>
              <a:spcPts val="0"/>
            </a:spcBef>
            <a:spcAft>
              <a:spcPts val="0"/>
            </a:spcAft>
            <a:buClrTx/>
            <a:buSzTx/>
            <a:buFontTx/>
            <a:buNone/>
            <a:tabLst/>
            <a:defRPr/>
          </a:pPr>
          <a:r>
            <a:rPr lang="en-US" sz="1200">
              <a:solidFill>
                <a:schemeClr val="dk1"/>
              </a:solidFill>
              <a:latin typeface="Book Antiqua" pitchFamily="18" charset="0"/>
              <a:ea typeface="+mn-ea"/>
              <a:cs typeface="+mn-cs"/>
            </a:rPr>
            <a:t>Established in France the first Music Festival on June 21st, 1982, it is a special moment when amateurs and professional musicians meet to celebrate music everywhere and share various musical styles.</a:t>
          </a:r>
          <a:endParaRPr lang="pt-PT" sz="1200">
            <a:solidFill>
              <a:schemeClr val="dk1"/>
            </a:solidFill>
            <a:latin typeface="Book Antiqua" pitchFamily="18" charset="0"/>
            <a:ea typeface="+mn-ea"/>
            <a:cs typeface="+mn-cs"/>
          </a:endParaRPr>
        </a:p>
        <a:p>
          <a:pPr algn="l"/>
          <a:endParaRPr lang="pt-PT" sz="1200">
            <a:latin typeface="Book Antiqua" pitchFamily="18" charset="0"/>
          </a:endParaRPr>
        </a:p>
      </xdr:txBody>
    </xdr:sp>
    <xdr:clientData/>
  </xdr:twoCellAnchor>
  <xdr:twoCellAnchor editAs="oneCell">
    <xdr:from>
      <xdr:col>6</xdr:col>
      <xdr:colOff>400050</xdr:colOff>
      <xdr:row>10</xdr:row>
      <xdr:rowOff>161925</xdr:rowOff>
    </xdr:from>
    <xdr:to>
      <xdr:col>10</xdr:col>
      <xdr:colOff>133350</xdr:colOff>
      <xdr:row>14</xdr:row>
      <xdr:rowOff>171450</xdr:rowOff>
    </xdr:to>
    <xdr:pic>
      <xdr:nvPicPr>
        <xdr:cNvPr id="4" name="Image 1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190875" y="2409825"/>
          <a:ext cx="1524000" cy="923925"/>
        </a:xfrm>
        <a:prstGeom prst="rect">
          <a:avLst/>
        </a:prstGeom>
      </xdr:spPr>
    </xdr:pic>
    <xdr:clientData/>
  </xdr:twoCellAnchor>
  <xdr:twoCellAnchor editAs="oneCell">
    <xdr:from>
      <xdr:col>1</xdr:col>
      <xdr:colOff>19049</xdr:colOff>
      <xdr:row>22</xdr:row>
      <xdr:rowOff>104775</xdr:rowOff>
    </xdr:from>
    <xdr:to>
      <xdr:col>9</xdr:col>
      <xdr:colOff>276224</xdr:colOff>
      <xdr:row>30</xdr:row>
      <xdr:rowOff>28575</xdr:rowOff>
    </xdr:to>
    <xdr:pic>
      <xdr:nvPicPr>
        <xdr:cNvPr id="5" name="Image 12"/>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1449" y="5095875"/>
          <a:ext cx="4238625" cy="1752600"/>
        </a:xfrm>
        <a:prstGeom prst="rect">
          <a:avLst/>
        </a:prstGeom>
      </xdr:spPr>
    </xdr:pic>
    <xdr:clientData/>
  </xdr:twoCellAnchor>
  <xdr:twoCellAnchor editAs="oneCell">
    <xdr:from>
      <xdr:col>13</xdr:col>
      <xdr:colOff>390525</xdr:colOff>
      <xdr:row>5</xdr:row>
      <xdr:rowOff>9526</xdr:rowOff>
    </xdr:from>
    <xdr:to>
      <xdr:col>14</xdr:col>
      <xdr:colOff>0</xdr:colOff>
      <xdr:row>6</xdr:row>
      <xdr:rowOff>9526</xdr:rowOff>
    </xdr:to>
    <xdr:pic>
      <xdr:nvPicPr>
        <xdr:cNvPr id="7" name="Imagem 6" descr="http://www.suapesquisa.com/paises/italia/bandeira_da_italia.gif"/>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44000" y="1104901"/>
          <a:ext cx="323850" cy="228600"/>
        </a:xfrm>
        <a:prstGeom prst="rect">
          <a:avLst/>
        </a:prstGeom>
        <a:noFill/>
        <a:ln>
          <a:noFill/>
        </a:ln>
      </xdr:spPr>
    </xdr:pic>
    <xdr:clientData/>
  </xdr:twoCellAnchor>
  <xdr:twoCellAnchor editAs="oneCell">
    <xdr:from>
      <xdr:col>13</xdr:col>
      <xdr:colOff>390525</xdr:colOff>
      <xdr:row>3</xdr:row>
      <xdr:rowOff>0</xdr:rowOff>
    </xdr:from>
    <xdr:to>
      <xdr:col>14</xdr:col>
      <xdr:colOff>0</xdr:colOff>
      <xdr:row>4</xdr:row>
      <xdr:rowOff>0</xdr:rowOff>
    </xdr:to>
    <xdr:pic>
      <xdr:nvPicPr>
        <xdr:cNvPr id="8" name="Imagem 7" descr="http://www.suapesquisa.com/paises/italia/bandeira_da_italia.gif"/>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44000" y="638175"/>
          <a:ext cx="323850" cy="228600"/>
        </a:xfrm>
        <a:prstGeom prst="rect">
          <a:avLst/>
        </a:prstGeom>
        <a:noFill/>
        <a:ln>
          <a:noFill/>
        </a:ln>
      </xdr:spPr>
    </xdr:pic>
    <xdr:clientData/>
  </xdr:twoCellAnchor>
  <xdr:twoCellAnchor editAs="oneCell">
    <xdr:from>
      <xdr:col>13</xdr:col>
      <xdr:colOff>57150</xdr:colOff>
      <xdr:row>4</xdr:row>
      <xdr:rowOff>0</xdr:rowOff>
    </xdr:from>
    <xdr:to>
      <xdr:col>13</xdr:col>
      <xdr:colOff>390525</xdr:colOff>
      <xdr:row>5</xdr:row>
      <xdr:rowOff>0</xdr:rowOff>
    </xdr:to>
    <xdr:pic>
      <xdr:nvPicPr>
        <xdr:cNvPr id="9" name="Imagem 8" descr="http://upload.wikimedia.org/wikipedia/commons/thumb/7/73/Flag_of_Romania.svg/250px-Flag_of_Romania.svg.png"/>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10625" y="866775"/>
          <a:ext cx="333375" cy="228600"/>
        </a:xfrm>
        <a:prstGeom prst="rect">
          <a:avLst/>
        </a:prstGeom>
        <a:noFill/>
        <a:ln>
          <a:noFill/>
        </a:ln>
      </xdr:spPr>
    </xdr:pic>
    <xdr:clientData/>
  </xdr:twoCellAnchor>
  <xdr:twoCellAnchor editAs="oneCell">
    <xdr:from>
      <xdr:col>13</xdr:col>
      <xdr:colOff>47625</xdr:colOff>
      <xdr:row>6</xdr:row>
      <xdr:rowOff>0</xdr:rowOff>
    </xdr:from>
    <xdr:to>
      <xdr:col>13</xdr:col>
      <xdr:colOff>381000</xdr:colOff>
      <xdr:row>7</xdr:row>
      <xdr:rowOff>0</xdr:rowOff>
    </xdr:to>
    <xdr:pic>
      <xdr:nvPicPr>
        <xdr:cNvPr id="10" name="Imagem 9"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801100" y="1323975"/>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400050</xdr:colOff>
      <xdr:row>7</xdr:row>
      <xdr:rowOff>9525</xdr:rowOff>
    </xdr:from>
    <xdr:to>
      <xdr:col>14</xdr:col>
      <xdr:colOff>9525</xdr:colOff>
      <xdr:row>8</xdr:row>
      <xdr:rowOff>0</xdr:rowOff>
    </xdr:to>
    <xdr:pic>
      <xdr:nvPicPr>
        <xdr:cNvPr id="11" name="Imagem 10" descr="http://www.suapesquisa.com/paises/italia/bandeira_da_italia.gif"/>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53525" y="1562100"/>
          <a:ext cx="323850" cy="228600"/>
        </a:xfrm>
        <a:prstGeom prst="rect">
          <a:avLst/>
        </a:prstGeom>
        <a:noFill/>
        <a:ln>
          <a:noFill/>
        </a:ln>
      </xdr:spPr>
    </xdr:pic>
    <xdr:clientData/>
  </xdr:twoCellAnchor>
  <xdr:twoCellAnchor editAs="oneCell">
    <xdr:from>
      <xdr:col>13</xdr:col>
      <xdr:colOff>47625</xdr:colOff>
      <xdr:row>8</xdr:row>
      <xdr:rowOff>9525</xdr:rowOff>
    </xdr:from>
    <xdr:to>
      <xdr:col>13</xdr:col>
      <xdr:colOff>381000</xdr:colOff>
      <xdr:row>9</xdr:row>
      <xdr:rowOff>9525</xdr:rowOff>
    </xdr:to>
    <xdr:pic>
      <xdr:nvPicPr>
        <xdr:cNvPr id="12" name="Imagem 11"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801100" y="1800225"/>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390525</xdr:colOff>
      <xdr:row>9</xdr:row>
      <xdr:rowOff>0</xdr:rowOff>
    </xdr:from>
    <xdr:to>
      <xdr:col>14</xdr:col>
      <xdr:colOff>9525</xdr:colOff>
      <xdr:row>10</xdr:row>
      <xdr:rowOff>0</xdr:rowOff>
    </xdr:to>
    <xdr:pic>
      <xdr:nvPicPr>
        <xdr:cNvPr id="13" name="Imagem 12" descr="http://upload.wikimedia.org/wikipedia/commons/thumb/7/73/Flag_of_Romania.svg/250px-Flag_of_Romania.svg.png"/>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44000" y="2019300"/>
          <a:ext cx="333375" cy="228600"/>
        </a:xfrm>
        <a:prstGeom prst="rect">
          <a:avLst/>
        </a:prstGeom>
        <a:noFill/>
        <a:ln>
          <a:noFill/>
        </a:ln>
      </xdr:spPr>
    </xdr:pic>
    <xdr:clientData/>
  </xdr:twoCellAnchor>
  <xdr:twoCellAnchor>
    <xdr:from>
      <xdr:col>10</xdr:col>
      <xdr:colOff>457201</xdr:colOff>
      <xdr:row>15</xdr:row>
      <xdr:rowOff>190500</xdr:rowOff>
    </xdr:from>
    <xdr:to>
      <xdr:col>14</xdr:col>
      <xdr:colOff>104776</xdr:colOff>
      <xdr:row>29</xdr:row>
      <xdr:rowOff>161925</xdr:rowOff>
    </xdr:to>
    <xdr:sp macro="" textlink="">
      <xdr:nvSpPr>
        <xdr:cNvPr id="14" name="CaixaDeTexto 13"/>
        <xdr:cNvSpPr txBox="1"/>
      </xdr:nvSpPr>
      <xdr:spPr>
        <a:xfrm>
          <a:off x="5038726" y="3581400"/>
          <a:ext cx="4533900" cy="31718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it-IT" sz="1400" b="1">
              <a:solidFill>
                <a:schemeClr val="dk1"/>
              </a:solidFill>
              <a:effectLst/>
              <a:latin typeface="Book Antiqua" panose="02040602050305030304" pitchFamily="18" charset="0"/>
              <a:ea typeface="+mn-ea"/>
              <a:cs typeface="+mn-cs"/>
            </a:rPr>
            <a:t>REPUBLIC ANNIVERSARY</a:t>
          </a:r>
          <a:endParaRPr lang="pt-PT" sz="1400" b="1">
            <a:solidFill>
              <a:schemeClr val="dk1"/>
            </a:solidFill>
            <a:effectLst/>
            <a:latin typeface="Book Antiqua" panose="02040602050305030304" pitchFamily="18" charset="0"/>
            <a:ea typeface="+mn-ea"/>
            <a:cs typeface="+mn-cs"/>
          </a:endParaRPr>
        </a:p>
        <a:p>
          <a:pPr fontAlgn="t"/>
          <a:endParaRPr lang="en-US" sz="1200">
            <a:solidFill>
              <a:schemeClr val="dk1"/>
            </a:solidFill>
            <a:latin typeface="Book Antiqua" pitchFamily="18" charset="0"/>
            <a:ea typeface="+mn-ea"/>
            <a:cs typeface="+mn-cs"/>
          </a:endParaRPr>
        </a:p>
        <a:p>
          <a:pPr fontAlgn="t"/>
          <a:r>
            <a:rPr lang="en-US" sz="1200">
              <a:solidFill>
                <a:schemeClr val="dk1"/>
              </a:solidFill>
              <a:latin typeface="Book Antiqua" pitchFamily="18" charset="0"/>
              <a:ea typeface="+mn-ea"/>
              <a:cs typeface="+mn-cs"/>
            </a:rPr>
            <a:t>The Italian Republic Day is celebrated on 2 June  each year, to commemorate the birth of the Italian Republic.</a:t>
          </a:r>
          <a:br>
            <a:rPr lang="en-US" sz="1200">
              <a:solidFill>
                <a:schemeClr val="dk1"/>
              </a:solidFill>
              <a:latin typeface="Book Antiqua" pitchFamily="18" charset="0"/>
              <a:ea typeface="+mn-ea"/>
              <a:cs typeface="+mn-cs"/>
            </a:rPr>
          </a:br>
          <a:r>
            <a:rPr lang="en-US" sz="1200">
              <a:solidFill>
                <a:schemeClr val="dk1"/>
              </a:solidFill>
              <a:latin typeface="Book Antiqua" pitchFamily="18" charset="0"/>
              <a:ea typeface="+mn-ea"/>
              <a:cs typeface="+mn-cs"/>
            </a:rPr>
            <a:t>On 2 and 3 June 1946 was held the institutional referendum, held by universal suffrage, with which Italians were called to the polls to express their views on what form of government, monarchy or republic, give the country, following the fall of fascism. After 85 years of reign, with 12,718,641 votes against 10,718,502  Italy became a republic and the monarchs of the House of Savoy were exiled.</a:t>
          </a:r>
          <a:br>
            <a:rPr lang="en-US" sz="1200">
              <a:solidFill>
                <a:schemeClr val="dk1"/>
              </a:solidFill>
              <a:latin typeface="Book Antiqua" pitchFamily="18" charset="0"/>
              <a:ea typeface="+mn-ea"/>
              <a:cs typeface="+mn-cs"/>
            </a:rPr>
          </a:br>
          <a:r>
            <a:rPr lang="en-US" sz="1200">
              <a:solidFill>
                <a:schemeClr val="dk1"/>
              </a:solidFill>
              <a:latin typeface="Book Antiqua" pitchFamily="18" charset="0"/>
              <a:ea typeface="+mn-ea"/>
              <a:cs typeface="+mn-cs"/>
            </a:rPr>
            <a:t>Worldwide Italian embassies hold a celebration which invites</a:t>
          </a:r>
          <a:r>
            <a:rPr lang="en-US" sz="1200" baseline="0">
              <a:solidFill>
                <a:schemeClr val="dk1"/>
              </a:solidFill>
              <a:latin typeface="Book Antiqua" pitchFamily="18" charset="0"/>
              <a:ea typeface="+mn-ea"/>
              <a:cs typeface="+mn-cs"/>
            </a:rPr>
            <a:t> </a:t>
          </a:r>
          <a:r>
            <a:rPr lang="en-US" sz="1200">
              <a:solidFill>
                <a:schemeClr val="dk1"/>
              </a:solidFill>
              <a:latin typeface="Book Antiqua" pitchFamily="18" charset="0"/>
              <a:ea typeface="+mn-ea"/>
              <a:cs typeface="+mn-cs"/>
            </a:rPr>
            <a:t>the heads of state of the host country. From around the world come to the President of the Italian Republic wishes of the other heads of state, also held in Italy special ceremonies.</a:t>
          </a:r>
          <a:r>
            <a:rPr lang="en-US" sz="1100">
              <a:solidFill>
                <a:schemeClr val="dk1"/>
              </a:solidFill>
              <a:latin typeface="+mn-lt"/>
              <a:ea typeface="+mn-ea"/>
              <a:cs typeface="+mn-cs"/>
            </a:rPr>
            <a:t/>
          </a:r>
          <a:br>
            <a:rPr lang="en-US" sz="1100">
              <a:solidFill>
                <a:schemeClr val="dk1"/>
              </a:solidFill>
              <a:latin typeface="+mn-lt"/>
              <a:ea typeface="+mn-ea"/>
              <a:cs typeface="+mn-cs"/>
            </a:rPr>
          </a:br>
          <a:endParaRPr lang="pt-PT" sz="1100">
            <a:solidFill>
              <a:schemeClr val="dk1"/>
            </a:solidFill>
            <a:latin typeface="+mn-lt"/>
            <a:ea typeface="+mn-ea"/>
            <a:cs typeface="+mn-cs"/>
          </a:endParaRPr>
        </a:p>
        <a:p>
          <a:endParaRPr lang="pt-PT" sz="1100"/>
        </a:p>
      </xdr:txBody>
    </xdr:sp>
    <xdr:clientData/>
  </xdr:twoCellAnchor>
  <xdr:twoCellAnchor editAs="oneCell">
    <xdr:from>
      <xdr:col>13</xdr:col>
      <xdr:colOff>628650</xdr:colOff>
      <xdr:row>18</xdr:row>
      <xdr:rowOff>123825</xdr:rowOff>
    </xdr:from>
    <xdr:to>
      <xdr:col>19</xdr:col>
      <xdr:colOff>114300</xdr:colOff>
      <xdr:row>26</xdr:row>
      <xdr:rowOff>177165</xdr:rowOff>
    </xdr:to>
    <xdr:pic>
      <xdr:nvPicPr>
        <xdr:cNvPr id="15" name="irc_mi" descr="http://www.centrometeoitaliano.it/wp-content/uploads/2013/05/Festa-della-Repubblica-2-Giugno-2014.jpg"/>
        <xdr:cNvPicPr/>
      </xdr:nvPicPr>
      <xdr:blipFill>
        <a:blip xmlns:r="http://schemas.openxmlformats.org/officeDocument/2006/relationships" r:embed="rId6" cstate="print"/>
        <a:srcRect/>
        <a:stretch>
          <a:fillRect/>
        </a:stretch>
      </xdr:blipFill>
      <xdr:spPr bwMode="auto">
        <a:xfrm>
          <a:off x="9382125" y="4200525"/>
          <a:ext cx="2714625" cy="1882140"/>
        </a:xfrm>
        <a:prstGeom prst="rect">
          <a:avLst/>
        </a:prstGeom>
        <a:noFill/>
        <a:ln w="9525">
          <a:noFill/>
          <a:miter lim="800000"/>
          <a:headEnd/>
          <a:tailEnd/>
        </a:ln>
      </xdr:spPr>
    </xdr:pic>
    <xdr:clientData/>
  </xdr:twoCellAnchor>
  <xdr:oneCellAnchor>
    <xdr:from>
      <xdr:col>9</xdr:col>
      <xdr:colOff>0</xdr:colOff>
      <xdr:row>1</xdr:row>
      <xdr:rowOff>0</xdr:rowOff>
    </xdr:from>
    <xdr:ext cx="581025" cy="495300"/>
    <xdr:pic>
      <xdr:nvPicPr>
        <xdr:cNvPr id="16" name="Imagem 15"/>
        <xdr:cNvPicPr/>
      </xdr:nvPicPr>
      <xdr:blipFill>
        <a:blip xmlns:r="http://schemas.openxmlformats.org/officeDocument/2006/relationships" r:embed="rId7"/>
        <a:stretch>
          <a:fillRect/>
        </a:stretch>
      </xdr:blipFill>
      <xdr:spPr>
        <a:xfrm>
          <a:off x="4133850" y="142875"/>
          <a:ext cx="581025" cy="495300"/>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11</xdr:row>
      <xdr:rowOff>142875</xdr:rowOff>
    </xdr:from>
    <xdr:to>
      <xdr:col>9</xdr:col>
      <xdr:colOff>219075</xdr:colOff>
      <xdr:row>18</xdr:row>
      <xdr:rowOff>104775</xdr:rowOff>
    </xdr:to>
    <xdr:sp macro="" textlink="">
      <xdr:nvSpPr>
        <xdr:cNvPr id="3" name="CaixaDeTexto 2"/>
        <xdr:cNvSpPr txBox="1"/>
      </xdr:nvSpPr>
      <xdr:spPr>
        <a:xfrm>
          <a:off x="152400" y="2619375"/>
          <a:ext cx="4200525" cy="15621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pt-PT" sz="1600" i="0">
              <a:latin typeface="Book Antiqua" pitchFamily="18" charset="0"/>
            </a:rPr>
            <a:t>14th July, a national holiday</a:t>
          </a:r>
        </a:p>
        <a:p>
          <a:pPr algn="ctr"/>
          <a:r>
            <a:rPr lang="pt-PT" sz="1600" i="1">
              <a:latin typeface="Book Antiqua" pitchFamily="18" charset="0"/>
            </a:rPr>
            <a:t>Le</a:t>
          </a:r>
          <a:r>
            <a:rPr lang="pt-PT" sz="1600" i="1" baseline="0">
              <a:latin typeface="Book Antiqua" pitchFamily="18" charset="0"/>
            </a:rPr>
            <a:t> 14 julliet, une fête</a:t>
          </a:r>
          <a:r>
            <a:rPr lang="pt-PT" sz="1600" i="1">
              <a:latin typeface="Book Antiqua" pitchFamily="18" charset="0"/>
            </a:rPr>
            <a:t> nationale</a:t>
          </a:r>
        </a:p>
        <a:p>
          <a:pPr algn="ctr"/>
          <a:endParaRPr lang="pt-PT" sz="1200">
            <a:latin typeface="Book Antiqua" pitchFamily="18"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200">
              <a:solidFill>
                <a:schemeClr val="dk1"/>
              </a:solidFill>
              <a:latin typeface="Book Antiqua" pitchFamily="18" charset="0"/>
              <a:ea typeface="+mn-ea"/>
              <a:cs typeface="+mn-cs"/>
            </a:rPr>
            <a:t>July 14</a:t>
          </a:r>
          <a:r>
            <a:rPr lang="en-US" sz="1200" baseline="30000">
              <a:solidFill>
                <a:schemeClr val="dk1"/>
              </a:solidFill>
              <a:latin typeface="Book Antiqua" pitchFamily="18" charset="0"/>
              <a:ea typeface="+mn-ea"/>
              <a:cs typeface="+mn-cs"/>
            </a:rPr>
            <a:t>th</a:t>
          </a:r>
          <a:r>
            <a:rPr lang="en-US" sz="1200">
              <a:solidFill>
                <a:schemeClr val="dk1"/>
              </a:solidFill>
              <a:latin typeface="Book Antiqua" pitchFamily="18" charset="0"/>
              <a:ea typeface="+mn-ea"/>
              <a:cs typeface="+mn-cs"/>
            </a:rPr>
            <a:t> commemorates in the collective memory the storming of the Bastille of 1789. This event marking the beginning of the French Revolution became a republican symbol of freedom.</a:t>
          </a:r>
          <a:endParaRPr lang="pt-PT" sz="1200">
            <a:solidFill>
              <a:schemeClr val="dk1"/>
            </a:solidFill>
            <a:latin typeface="Book Antiqua" pitchFamily="18" charset="0"/>
            <a:ea typeface="+mn-ea"/>
            <a:cs typeface="+mn-cs"/>
          </a:endParaRPr>
        </a:p>
        <a:p>
          <a:pPr algn="ctr"/>
          <a:endParaRPr lang="pt-PT" sz="1200">
            <a:latin typeface="Book Antiqua" pitchFamily="18" charset="0"/>
          </a:endParaRPr>
        </a:p>
      </xdr:txBody>
    </xdr:sp>
    <xdr:clientData/>
  </xdr:twoCellAnchor>
  <xdr:twoCellAnchor editAs="oneCell">
    <xdr:from>
      <xdr:col>1</xdr:col>
      <xdr:colOff>676275</xdr:colOff>
      <xdr:row>19</xdr:row>
      <xdr:rowOff>47625</xdr:rowOff>
    </xdr:from>
    <xdr:to>
      <xdr:col>7</xdr:col>
      <xdr:colOff>194393</xdr:colOff>
      <xdr:row>26</xdr:row>
      <xdr:rowOff>180174</xdr:rowOff>
    </xdr:to>
    <xdr:pic>
      <xdr:nvPicPr>
        <xdr:cNvPr id="4" name="Image 8"/>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8675" y="4352925"/>
          <a:ext cx="2604218" cy="1732749"/>
        </a:xfrm>
        <a:prstGeom prst="rect">
          <a:avLst/>
        </a:prstGeom>
      </xdr:spPr>
    </xdr:pic>
    <xdr:clientData/>
  </xdr:twoCellAnchor>
  <xdr:twoCellAnchor editAs="oneCell">
    <xdr:from>
      <xdr:col>13</xdr:col>
      <xdr:colOff>47625</xdr:colOff>
      <xdr:row>4</xdr:row>
      <xdr:rowOff>0</xdr:rowOff>
    </xdr:from>
    <xdr:to>
      <xdr:col>13</xdr:col>
      <xdr:colOff>381000</xdr:colOff>
      <xdr:row>5</xdr:row>
      <xdr:rowOff>9525</xdr:rowOff>
    </xdr:to>
    <xdr:pic>
      <xdr:nvPicPr>
        <xdr:cNvPr id="5" name="Imagem 4" descr="http://gartic.uol.com.br/imgs/mural/wo/wolfet/livre_1278882719.png"/>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801100" y="866775"/>
          <a:ext cx="333375" cy="238125"/>
        </a:xfrm>
        <a:prstGeom prst="rect">
          <a:avLst/>
        </a:prstGeom>
        <a:noFill/>
        <a:ln>
          <a:noFill/>
        </a:ln>
      </xdr:spPr>
    </xdr:pic>
    <xdr:clientData/>
  </xdr:twoCellAnchor>
  <xdr:twoCellAnchor>
    <xdr:from>
      <xdr:col>10</xdr:col>
      <xdr:colOff>457201</xdr:colOff>
      <xdr:row>12</xdr:row>
      <xdr:rowOff>0</xdr:rowOff>
    </xdr:from>
    <xdr:to>
      <xdr:col>14</xdr:col>
      <xdr:colOff>0</xdr:colOff>
      <xdr:row>21</xdr:row>
      <xdr:rowOff>171450</xdr:rowOff>
    </xdr:to>
    <xdr:sp macro="" textlink="">
      <xdr:nvSpPr>
        <xdr:cNvPr id="2" name="CaixaDeTexto 1"/>
        <xdr:cNvSpPr txBox="1"/>
      </xdr:nvSpPr>
      <xdr:spPr>
        <a:xfrm>
          <a:off x="5038726" y="2705100"/>
          <a:ext cx="4429124" cy="22288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1400" b="0">
              <a:solidFill>
                <a:schemeClr val="dk1"/>
              </a:solidFill>
              <a:effectLst/>
              <a:latin typeface="Book Antiqua" panose="02040602050305030304" pitchFamily="18" charset="0"/>
              <a:ea typeface="+mn-ea"/>
              <a:cs typeface="+mn-cs"/>
            </a:rPr>
            <a:t>Saint Ana’s Festivity</a:t>
          </a:r>
        </a:p>
        <a:p>
          <a:pPr algn="ctr"/>
          <a:r>
            <a:rPr lang="en-GB" sz="1400" b="0" i="1">
              <a:solidFill>
                <a:schemeClr val="dk1"/>
              </a:solidFill>
              <a:effectLst/>
              <a:latin typeface="Book Antiqua" panose="02040602050305030304" pitchFamily="18" charset="0"/>
              <a:ea typeface="+mn-ea"/>
              <a:cs typeface="+mn-cs"/>
            </a:rPr>
            <a:t>Feste de Santa Ana</a:t>
          </a:r>
        </a:p>
        <a:p>
          <a:endParaRPr lang="pt-PT" sz="1100">
            <a:solidFill>
              <a:schemeClr val="dk1"/>
            </a:solidFill>
            <a:effectLst/>
            <a:latin typeface="Book Antiqua" panose="02040602050305030304" pitchFamily="18" charset="0"/>
            <a:ea typeface="+mn-ea"/>
            <a:cs typeface="+mn-cs"/>
          </a:endParaRPr>
        </a:p>
        <a:p>
          <a:r>
            <a:rPr lang="en-GB" sz="1100">
              <a:solidFill>
                <a:schemeClr val="dk1"/>
              </a:solidFill>
              <a:effectLst/>
              <a:latin typeface="Book Antiqua" panose="02040602050305030304" pitchFamily="18" charset="0"/>
              <a:ea typeface="+mn-ea"/>
              <a:cs typeface="+mn-cs"/>
            </a:rPr>
            <a:t>It’s organised annually in the first weekend of July, by one group of people aged 25. This group varies every year and all the members have to be single. Due this particularity, the people from Mogadouro call it the «Single´s Party». This celebration has a religious part, with two masses and two processions, in Saint Ana’s honour, and another part with some cultural activities that differs according to the tastes of the group organizing it. It is the second biggest festivity in Mogadouro.    </a:t>
          </a:r>
          <a:endParaRPr lang="pt-PT" sz="1100">
            <a:solidFill>
              <a:schemeClr val="dk1"/>
            </a:solidFill>
            <a:effectLst/>
            <a:latin typeface="Book Antiqua" panose="02040602050305030304" pitchFamily="18" charset="0"/>
            <a:ea typeface="+mn-ea"/>
            <a:cs typeface="+mn-cs"/>
          </a:endParaRPr>
        </a:p>
        <a:p>
          <a:endParaRPr lang="pt-PT" sz="1100">
            <a:latin typeface="Book Antiqua" panose="02040602050305030304" pitchFamily="18" charset="0"/>
          </a:endParaRPr>
        </a:p>
      </xdr:txBody>
    </xdr:sp>
    <xdr:clientData/>
  </xdr:twoCellAnchor>
  <xdr:twoCellAnchor editAs="oneCell">
    <xdr:from>
      <xdr:col>12</xdr:col>
      <xdr:colOff>962026</xdr:colOff>
      <xdr:row>21</xdr:row>
      <xdr:rowOff>47626</xdr:rowOff>
    </xdr:from>
    <xdr:to>
      <xdr:col>13</xdr:col>
      <xdr:colOff>590550</xdr:colOff>
      <xdr:row>30</xdr:row>
      <xdr:rowOff>0</xdr:rowOff>
    </xdr:to>
    <xdr:pic>
      <xdr:nvPicPr>
        <xdr:cNvPr id="6" name="Imagem 5" descr="G:\Fotos Sta Ana.JPG"/>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286501" y="4810126"/>
          <a:ext cx="3057524" cy="2009774"/>
        </a:xfrm>
        <a:prstGeom prst="rect">
          <a:avLst/>
        </a:prstGeom>
        <a:noFill/>
        <a:ln>
          <a:noFill/>
        </a:ln>
      </xdr:spPr>
    </xdr:pic>
    <xdr:clientData/>
  </xdr:twoCellAnchor>
  <xdr:twoCellAnchor editAs="oneCell">
    <xdr:from>
      <xdr:col>9</xdr:col>
      <xdr:colOff>66675</xdr:colOff>
      <xdr:row>1</xdr:row>
      <xdr:rowOff>28575</xdr:rowOff>
    </xdr:from>
    <xdr:to>
      <xdr:col>10</xdr:col>
      <xdr:colOff>200025</xdr:colOff>
      <xdr:row>3</xdr:row>
      <xdr:rowOff>28575</xdr:rowOff>
    </xdr:to>
    <xdr:pic>
      <xdr:nvPicPr>
        <xdr:cNvPr id="7" name="Imagem 6"/>
        <xdr:cNvPicPr/>
      </xdr:nvPicPr>
      <xdr:blipFill>
        <a:blip xmlns:r="http://schemas.openxmlformats.org/officeDocument/2006/relationships" r:embed="rId4"/>
        <a:stretch>
          <a:fillRect/>
        </a:stretch>
      </xdr:blipFill>
      <xdr:spPr>
        <a:xfrm>
          <a:off x="4200525" y="171450"/>
          <a:ext cx="581025" cy="495300"/>
        </a:xfrm>
        <a:prstGeom prst="rect">
          <a:avLst/>
        </a:prstGeom>
      </xdr:spPr>
    </xdr:pic>
    <xdr:clientData/>
  </xdr:twoCellAnchor>
  <xdr:twoCellAnchor editAs="oneCell">
    <xdr:from>
      <xdr:col>13</xdr:col>
      <xdr:colOff>381000</xdr:colOff>
      <xdr:row>3</xdr:row>
      <xdr:rowOff>0</xdr:rowOff>
    </xdr:from>
    <xdr:to>
      <xdr:col>14</xdr:col>
      <xdr:colOff>0</xdr:colOff>
      <xdr:row>4</xdr:row>
      <xdr:rowOff>9525</xdr:rowOff>
    </xdr:to>
    <xdr:pic>
      <xdr:nvPicPr>
        <xdr:cNvPr id="8" name="Imagem 7" descr="http://gartic.uol.com.br/imgs/mural/wo/wolfet/livre_1278882719.png"/>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34475" y="638175"/>
          <a:ext cx="333375" cy="238125"/>
        </a:xfrm>
        <a:prstGeom prst="rect">
          <a:avLst/>
        </a:prstGeom>
        <a:noFill/>
        <a:ln>
          <a:noFill/>
        </a:ln>
      </xdr:spPr>
    </xdr:pic>
    <xdr:clientData/>
  </xdr:twoCellAnchor>
  <xdr:twoCellAnchor editAs="oneCell">
    <xdr:from>
      <xdr:col>13</xdr:col>
      <xdr:colOff>390525</xdr:colOff>
      <xdr:row>5</xdr:row>
      <xdr:rowOff>0</xdr:rowOff>
    </xdr:from>
    <xdr:to>
      <xdr:col>14</xdr:col>
      <xdr:colOff>0</xdr:colOff>
      <xdr:row>6</xdr:row>
      <xdr:rowOff>0</xdr:rowOff>
    </xdr:to>
    <xdr:pic>
      <xdr:nvPicPr>
        <xdr:cNvPr id="9" name="Imagem 8" descr="http://www.suapesquisa.com/paises/italia/bandeira_da_italia.gif"/>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144000" y="1095375"/>
          <a:ext cx="323850" cy="228600"/>
        </a:xfrm>
        <a:prstGeom prst="rect">
          <a:avLst/>
        </a:prstGeom>
        <a:noFill/>
        <a:ln>
          <a:noFill/>
        </a:ln>
      </xdr:spPr>
    </xdr:pic>
    <xdr:clientData/>
  </xdr:twoCellAnchor>
  <xdr:twoCellAnchor editAs="oneCell">
    <xdr:from>
      <xdr:col>13</xdr:col>
      <xdr:colOff>57150</xdr:colOff>
      <xdr:row>6</xdr:row>
      <xdr:rowOff>0</xdr:rowOff>
    </xdr:from>
    <xdr:to>
      <xdr:col>13</xdr:col>
      <xdr:colOff>390525</xdr:colOff>
      <xdr:row>7</xdr:row>
      <xdr:rowOff>0</xdr:rowOff>
    </xdr:to>
    <xdr:pic>
      <xdr:nvPicPr>
        <xdr:cNvPr id="10" name="Imagem 9" descr="http://upload.wikimedia.org/wikipedia/commons/thumb/7/73/Flag_of_Romania.svg/250px-Flag_of_Romania.svg.png"/>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810625" y="1323975"/>
          <a:ext cx="333375" cy="228600"/>
        </a:xfrm>
        <a:prstGeom prst="rect">
          <a:avLst/>
        </a:prstGeom>
        <a:noFill/>
        <a:ln>
          <a:noFill/>
        </a:ln>
      </xdr:spPr>
    </xdr:pic>
    <xdr:clientData/>
  </xdr:twoCellAnchor>
  <xdr:twoCellAnchor editAs="oneCell">
    <xdr:from>
      <xdr:col>13</xdr:col>
      <xdr:colOff>400050</xdr:colOff>
      <xdr:row>7</xdr:row>
      <xdr:rowOff>9525</xdr:rowOff>
    </xdr:from>
    <xdr:to>
      <xdr:col>14</xdr:col>
      <xdr:colOff>9525</xdr:colOff>
      <xdr:row>8</xdr:row>
      <xdr:rowOff>0</xdr:rowOff>
    </xdr:to>
    <xdr:pic>
      <xdr:nvPicPr>
        <xdr:cNvPr id="11" name="Imagem 10" descr="http://www.suapesquisa.com/paises/italia/bandeira_da_italia.gif"/>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153525" y="1562100"/>
          <a:ext cx="323850" cy="228600"/>
        </a:xfrm>
        <a:prstGeom prst="rect">
          <a:avLst/>
        </a:prstGeom>
        <a:noFill/>
        <a:ln>
          <a:noFill/>
        </a:ln>
      </xdr:spPr>
    </xdr:pic>
    <xdr:clientData/>
  </xdr:twoCellAnchor>
  <xdr:twoCellAnchor editAs="oneCell">
    <xdr:from>
      <xdr:col>13</xdr:col>
      <xdr:colOff>76200</xdr:colOff>
      <xdr:row>8</xdr:row>
      <xdr:rowOff>0</xdr:rowOff>
    </xdr:from>
    <xdr:to>
      <xdr:col>13</xdr:col>
      <xdr:colOff>409575</xdr:colOff>
      <xdr:row>9</xdr:row>
      <xdr:rowOff>9525</xdr:rowOff>
    </xdr:to>
    <xdr:pic>
      <xdr:nvPicPr>
        <xdr:cNvPr id="12" name="Imagem 11" descr="http://gartic.uol.com.br/imgs/mural/wo/wolfet/livre_1278882719.png"/>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829675" y="1790700"/>
          <a:ext cx="333375" cy="238125"/>
        </a:xfrm>
        <a:prstGeom prst="rect">
          <a:avLst/>
        </a:prstGeom>
        <a:noFill/>
        <a:ln>
          <a:noFill/>
        </a:ln>
      </xdr:spPr>
    </xdr:pic>
    <xdr:clientData/>
  </xdr:twoCellAnchor>
  <xdr:twoCellAnchor editAs="oneCell">
    <xdr:from>
      <xdr:col>13</xdr:col>
      <xdr:colOff>400050</xdr:colOff>
      <xdr:row>9</xdr:row>
      <xdr:rowOff>0</xdr:rowOff>
    </xdr:from>
    <xdr:to>
      <xdr:col>14</xdr:col>
      <xdr:colOff>19050</xdr:colOff>
      <xdr:row>10</xdr:row>
      <xdr:rowOff>0</xdr:rowOff>
    </xdr:to>
    <xdr:pic>
      <xdr:nvPicPr>
        <xdr:cNvPr id="13"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153525" y="2019300"/>
          <a:ext cx="3333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13</xdr:col>
      <xdr:colOff>361950</xdr:colOff>
      <xdr:row>2</xdr:row>
      <xdr:rowOff>247650</xdr:rowOff>
    </xdr:from>
    <xdr:to>
      <xdr:col>14</xdr:col>
      <xdr:colOff>19048</xdr:colOff>
      <xdr:row>3</xdr:row>
      <xdr:rowOff>228444</xdr:rowOff>
    </xdr:to>
    <xdr:pic>
      <xdr:nvPicPr>
        <xdr:cNvPr id="2"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115425" y="619125"/>
          <a:ext cx="371473" cy="247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19050</xdr:rowOff>
    </xdr:from>
    <xdr:to>
      <xdr:col>10</xdr:col>
      <xdr:colOff>133350</xdr:colOff>
      <xdr:row>3</xdr:row>
      <xdr:rowOff>19050</xdr:rowOff>
    </xdr:to>
    <xdr:pic>
      <xdr:nvPicPr>
        <xdr:cNvPr id="3" name="Imagem 2"/>
        <xdr:cNvPicPr/>
      </xdr:nvPicPr>
      <xdr:blipFill>
        <a:blip xmlns:r="http://schemas.openxmlformats.org/officeDocument/2006/relationships" r:embed="rId2"/>
        <a:stretch>
          <a:fillRect/>
        </a:stretch>
      </xdr:blipFill>
      <xdr:spPr>
        <a:xfrm>
          <a:off x="4133850" y="161925"/>
          <a:ext cx="581025" cy="495300"/>
        </a:xfrm>
        <a:prstGeom prst="rect">
          <a:avLst/>
        </a:prstGeom>
      </xdr:spPr>
    </xdr:pic>
    <xdr:clientData/>
  </xdr:twoCellAnchor>
  <xdr:twoCellAnchor editAs="oneCell">
    <xdr:from>
      <xdr:col>13</xdr:col>
      <xdr:colOff>409575</xdr:colOff>
      <xdr:row>7</xdr:row>
      <xdr:rowOff>0</xdr:rowOff>
    </xdr:from>
    <xdr:to>
      <xdr:col>14</xdr:col>
      <xdr:colOff>19050</xdr:colOff>
      <xdr:row>7</xdr:row>
      <xdr:rowOff>228600</xdr:rowOff>
    </xdr:to>
    <xdr:pic>
      <xdr:nvPicPr>
        <xdr:cNvPr id="4" name="Imagem 8" descr="http://www.suapesquisa.com/paises/italia/bandeira_da_italia.gif"/>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63050" y="155257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390525</xdr:colOff>
      <xdr:row>5</xdr:row>
      <xdr:rowOff>0</xdr:rowOff>
    </xdr:from>
    <xdr:to>
      <xdr:col>14</xdr:col>
      <xdr:colOff>0</xdr:colOff>
      <xdr:row>6</xdr:row>
      <xdr:rowOff>0</xdr:rowOff>
    </xdr:to>
    <xdr:pic>
      <xdr:nvPicPr>
        <xdr:cNvPr id="5" name="Imagem 8" descr="http://www.suapesquisa.com/paises/italia/bandeira_da_italia.gif"/>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44000" y="109537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47625</xdr:colOff>
      <xdr:row>3</xdr:row>
      <xdr:rowOff>219075</xdr:rowOff>
    </xdr:from>
    <xdr:to>
      <xdr:col>13</xdr:col>
      <xdr:colOff>371475</xdr:colOff>
      <xdr:row>4</xdr:row>
      <xdr:rowOff>219075</xdr:rowOff>
    </xdr:to>
    <xdr:pic>
      <xdr:nvPicPr>
        <xdr:cNvPr id="6" name="Imagem 8" descr="http://www.suapesquisa.com/paises/italia/bandeira_da_italia.gif"/>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01100" y="85725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66675</xdr:colOff>
      <xdr:row>5</xdr:row>
      <xdr:rowOff>219075</xdr:rowOff>
    </xdr:from>
    <xdr:to>
      <xdr:col>13</xdr:col>
      <xdr:colOff>400050</xdr:colOff>
      <xdr:row>6</xdr:row>
      <xdr:rowOff>219075</xdr:rowOff>
    </xdr:to>
    <xdr:pic>
      <xdr:nvPicPr>
        <xdr:cNvPr id="7" name="Imagem 9" descr="http://upload.wikimedia.org/wikipedia/commons/thumb/7/73/Flag_of_Romania.svg/250px-Flag_of_Romania.svg.p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20150" y="1314450"/>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13</xdr:col>
      <xdr:colOff>9525</xdr:colOff>
      <xdr:row>4</xdr:row>
      <xdr:rowOff>0</xdr:rowOff>
    </xdr:from>
    <xdr:to>
      <xdr:col>13</xdr:col>
      <xdr:colOff>380998</xdr:colOff>
      <xdr:row>5</xdr:row>
      <xdr:rowOff>18894</xdr:rowOff>
    </xdr:to>
    <xdr:pic>
      <xdr:nvPicPr>
        <xdr:cNvPr id="2"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3000" y="866775"/>
          <a:ext cx="371473" cy="247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438150</xdr:colOff>
      <xdr:row>1</xdr:row>
      <xdr:rowOff>0</xdr:rowOff>
    </xdr:from>
    <xdr:to>
      <xdr:col>10</xdr:col>
      <xdr:colOff>123825</xdr:colOff>
      <xdr:row>3</xdr:row>
      <xdr:rowOff>0</xdr:rowOff>
    </xdr:to>
    <xdr:pic>
      <xdr:nvPicPr>
        <xdr:cNvPr id="3" name="Imagem 2"/>
        <xdr:cNvPicPr/>
      </xdr:nvPicPr>
      <xdr:blipFill>
        <a:blip xmlns:r="http://schemas.openxmlformats.org/officeDocument/2006/relationships" r:embed="rId2"/>
        <a:stretch>
          <a:fillRect/>
        </a:stretch>
      </xdr:blipFill>
      <xdr:spPr>
        <a:xfrm>
          <a:off x="4124325" y="142875"/>
          <a:ext cx="581025" cy="495300"/>
        </a:xfrm>
        <a:prstGeom prst="rect">
          <a:avLst/>
        </a:prstGeom>
      </xdr:spPr>
    </xdr:pic>
    <xdr:clientData/>
  </xdr:twoCellAnchor>
  <xdr:twoCellAnchor editAs="oneCell">
    <xdr:from>
      <xdr:col>13</xdr:col>
      <xdr:colOff>390525</xdr:colOff>
      <xdr:row>2</xdr:row>
      <xdr:rowOff>247650</xdr:rowOff>
    </xdr:from>
    <xdr:to>
      <xdr:col>14</xdr:col>
      <xdr:colOff>9525</xdr:colOff>
      <xdr:row>3</xdr:row>
      <xdr:rowOff>209550</xdr:rowOff>
    </xdr:to>
    <xdr:pic>
      <xdr:nvPicPr>
        <xdr:cNvPr id="4"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44000" y="619125"/>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438150</xdr:colOff>
      <xdr:row>1</xdr:row>
      <xdr:rowOff>0</xdr:rowOff>
    </xdr:from>
    <xdr:to>
      <xdr:col>10</xdr:col>
      <xdr:colOff>200025</xdr:colOff>
      <xdr:row>2</xdr:row>
      <xdr:rowOff>247650</xdr:rowOff>
    </xdr:to>
    <xdr:pic>
      <xdr:nvPicPr>
        <xdr:cNvPr id="5" name="Imagem 4"/>
        <xdr:cNvPicPr/>
      </xdr:nvPicPr>
      <xdr:blipFill>
        <a:blip xmlns:r="http://schemas.openxmlformats.org/officeDocument/2006/relationships" r:embed="rId4"/>
        <a:stretch>
          <a:fillRect/>
        </a:stretch>
      </xdr:blipFill>
      <xdr:spPr>
        <a:xfrm>
          <a:off x="4124325" y="142875"/>
          <a:ext cx="657225" cy="476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8</xdr:col>
      <xdr:colOff>361950</xdr:colOff>
      <xdr:row>1</xdr:row>
      <xdr:rowOff>9525</xdr:rowOff>
    </xdr:from>
    <xdr:to>
      <xdr:col>10</xdr:col>
      <xdr:colOff>123825</xdr:colOff>
      <xdr:row>2</xdr:row>
      <xdr:rowOff>257175</xdr:rowOff>
    </xdr:to>
    <xdr:pic>
      <xdr:nvPicPr>
        <xdr:cNvPr id="3" name="Imagem 2"/>
        <xdr:cNvPicPr/>
      </xdr:nvPicPr>
      <xdr:blipFill>
        <a:blip xmlns:r="http://schemas.openxmlformats.org/officeDocument/2006/relationships" r:embed="rId1"/>
        <a:stretch>
          <a:fillRect/>
        </a:stretch>
      </xdr:blipFill>
      <xdr:spPr>
        <a:xfrm>
          <a:off x="4048125" y="152400"/>
          <a:ext cx="657225" cy="476250"/>
        </a:xfrm>
        <a:prstGeom prst="rect">
          <a:avLst/>
        </a:prstGeom>
      </xdr:spPr>
    </xdr:pic>
    <xdr:clientData/>
  </xdr:twoCellAnchor>
  <xdr:twoCellAnchor>
    <xdr:from>
      <xdr:col>12</xdr:col>
      <xdr:colOff>2505075</xdr:colOff>
      <xdr:row>23</xdr:row>
      <xdr:rowOff>180975</xdr:rowOff>
    </xdr:from>
    <xdr:to>
      <xdr:col>12</xdr:col>
      <xdr:colOff>3362325</xdr:colOff>
      <xdr:row>25</xdr:row>
      <xdr:rowOff>38100</xdr:rowOff>
    </xdr:to>
    <xdr:sp macro="" textlink="">
      <xdr:nvSpPr>
        <xdr:cNvPr id="4" name="CaixaDeTexto 3"/>
        <xdr:cNvSpPr txBox="1"/>
      </xdr:nvSpPr>
      <xdr:spPr>
        <a:xfrm>
          <a:off x="7829550" y="5400675"/>
          <a:ext cx="857250"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a:latin typeface="Cooper Black" panose="0208090404030B020404" pitchFamily="18" charset="0"/>
            </a:rPr>
            <a:t>In Italy</a:t>
          </a:r>
        </a:p>
      </xdr:txBody>
    </xdr:sp>
    <xdr:clientData/>
  </xdr:twoCellAnchor>
  <xdr:twoCellAnchor editAs="oneCell">
    <xdr:from>
      <xdr:col>13</xdr:col>
      <xdr:colOff>400050</xdr:colOff>
      <xdr:row>3</xdr:row>
      <xdr:rowOff>0</xdr:rowOff>
    </xdr:from>
    <xdr:to>
      <xdr:col>14</xdr:col>
      <xdr:colOff>19050</xdr:colOff>
      <xdr:row>4</xdr:row>
      <xdr:rowOff>0</xdr:rowOff>
    </xdr:to>
    <xdr:pic>
      <xdr:nvPicPr>
        <xdr:cNvPr id="5"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53525" y="638175"/>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381000</xdr:colOff>
      <xdr:row>4</xdr:row>
      <xdr:rowOff>219075</xdr:rowOff>
    </xdr:from>
    <xdr:to>
      <xdr:col>14</xdr:col>
      <xdr:colOff>0</xdr:colOff>
      <xdr:row>5</xdr:row>
      <xdr:rowOff>219075</xdr:rowOff>
    </xdr:to>
    <xdr:pic>
      <xdr:nvPicPr>
        <xdr:cNvPr id="6"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34475" y="1085850"/>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38100</xdr:colOff>
      <xdr:row>4</xdr:row>
      <xdr:rowOff>9525</xdr:rowOff>
    </xdr:from>
    <xdr:to>
      <xdr:col>13</xdr:col>
      <xdr:colOff>371475</xdr:colOff>
      <xdr:row>5</xdr:row>
      <xdr:rowOff>19050</xdr:rowOff>
    </xdr:to>
    <xdr:pic>
      <xdr:nvPicPr>
        <xdr:cNvPr id="7" name="Imagem 4" descr="http://gartic.uol.com.br/imgs/mural/wo/wolfet/livre_1278882719.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91575" y="87630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390524</xdr:colOff>
      <xdr:row>11</xdr:row>
      <xdr:rowOff>152400</xdr:rowOff>
    </xdr:from>
    <xdr:to>
      <xdr:col>12</xdr:col>
      <xdr:colOff>1171575</xdr:colOff>
      <xdr:row>15</xdr:row>
      <xdr:rowOff>161925</xdr:rowOff>
    </xdr:to>
    <xdr:pic>
      <xdr:nvPicPr>
        <xdr:cNvPr id="8" name="Immagine 1"/>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8375" r="12805"/>
        <a:stretch/>
      </xdr:blipFill>
      <xdr:spPr bwMode="auto">
        <a:xfrm>
          <a:off x="4972049" y="2628900"/>
          <a:ext cx="1524001"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11</xdr:col>
      <xdr:colOff>85726</xdr:colOff>
      <xdr:row>16</xdr:row>
      <xdr:rowOff>0</xdr:rowOff>
    </xdr:from>
    <xdr:to>
      <xdr:col>12</xdr:col>
      <xdr:colOff>2428875</xdr:colOff>
      <xdr:row>25</xdr:row>
      <xdr:rowOff>57150</xdr:rowOff>
    </xdr:to>
    <xdr:pic>
      <xdr:nvPicPr>
        <xdr:cNvPr id="10" name="Imagem 9" descr="C:\Users\cristinarodrigues\AppData\Local\Microsoft\Windows\Temporary Internet Files\Content.Word\Foto de grupo.jpg"/>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53026" y="3619500"/>
          <a:ext cx="2600324" cy="211455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13</xdr:col>
      <xdr:colOff>342900</xdr:colOff>
      <xdr:row>3</xdr:row>
      <xdr:rowOff>9525</xdr:rowOff>
    </xdr:from>
    <xdr:to>
      <xdr:col>13</xdr:col>
      <xdr:colOff>714373</xdr:colOff>
      <xdr:row>4</xdr:row>
      <xdr:rowOff>28419</xdr:rowOff>
    </xdr:to>
    <xdr:pic>
      <xdr:nvPicPr>
        <xdr:cNvPr id="2"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96375" y="647700"/>
          <a:ext cx="371473" cy="247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361950</xdr:colOff>
      <xdr:row>1</xdr:row>
      <xdr:rowOff>9525</xdr:rowOff>
    </xdr:from>
    <xdr:to>
      <xdr:col>10</xdr:col>
      <xdr:colOff>123825</xdr:colOff>
      <xdr:row>2</xdr:row>
      <xdr:rowOff>257175</xdr:rowOff>
    </xdr:to>
    <xdr:pic>
      <xdr:nvPicPr>
        <xdr:cNvPr id="3" name="Imagem 2"/>
        <xdr:cNvPicPr/>
      </xdr:nvPicPr>
      <xdr:blipFill>
        <a:blip xmlns:r="http://schemas.openxmlformats.org/officeDocument/2006/relationships" r:embed="rId2"/>
        <a:stretch>
          <a:fillRect/>
        </a:stretch>
      </xdr:blipFill>
      <xdr:spPr>
        <a:xfrm>
          <a:off x="4048125" y="152400"/>
          <a:ext cx="657225" cy="476250"/>
        </a:xfrm>
        <a:prstGeom prst="rect">
          <a:avLst/>
        </a:prstGeom>
      </xdr:spPr>
    </xdr:pic>
    <xdr:clientData/>
  </xdr:twoCellAnchor>
  <xdr:twoCellAnchor editAs="oneCell">
    <xdr:from>
      <xdr:col>13</xdr:col>
      <xdr:colOff>381000</xdr:colOff>
      <xdr:row>5</xdr:row>
      <xdr:rowOff>0</xdr:rowOff>
    </xdr:from>
    <xdr:to>
      <xdr:col>14</xdr:col>
      <xdr:colOff>0</xdr:colOff>
      <xdr:row>6</xdr:row>
      <xdr:rowOff>0</xdr:rowOff>
    </xdr:to>
    <xdr:pic>
      <xdr:nvPicPr>
        <xdr:cNvPr id="4" name="Imagem 9" descr="http://upload.wikimedia.org/wikipedia/commons/thumb/7/73/Flag_of_Romania.svg/250px-Flag_of_Romania.svg.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34475" y="1095375"/>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9525</xdr:colOff>
      <xdr:row>4</xdr:row>
      <xdr:rowOff>19050</xdr:rowOff>
    </xdr:from>
    <xdr:to>
      <xdr:col>13</xdr:col>
      <xdr:colOff>342900</xdr:colOff>
      <xdr:row>5</xdr:row>
      <xdr:rowOff>19050</xdr:rowOff>
    </xdr:to>
    <xdr:pic>
      <xdr:nvPicPr>
        <xdr:cNvPr id="5" name="Imagem 12" descr="C:\Users\cristinarodrigues\AppData\Local\Microsoft\Windows\Temporary Internet Files\Content.IE5\E71EYN41\espanha[1].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763000" y="885825"/>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12</xdr:col>
      <xdr:colOff>3390900</xdr:colOff>
      <xdr:row>4</xdr:row>
      <xdr:rowOff>0</xdr:rowOff>
    </xdr:from>
    <xdr:to>
      <xdr:col>13</xdr:col>
      <xdr:colOff>333375</xdr:colOff>
      <xdr:row>5</xdr:row>
      <xdr:rowOff>19050</xdr:rowOff>
    </xdr:to>
    <xdr:pic>
      <xdr:nvPicPr>
        <xdr:cNvPr id="5" name="Imagem 1" descr="C:\Users\cristinarodrigues\AppData\Local\Microsoft\Windows\Temporary Internet Files\Content.IE5\YIAMZX1C\Por[1].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15375" y="8667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381000</xdr:colOff>
      <xdr:row>6</xdr:row>
      <xdr:rowOff>219075</xdr:rowOff>
    </xdr:from>
    <xdr:to>
      <xdr:col>14</xdr:col>
      <xdr:colOff>0</xdr:colOff>
      <xdr:row>7</xdr:row>
      <xdr:rowOff>228600</xdr:rowOff>
    </xdr:to>
    <xdr:pic>
      <xdr:nvPicPr>
        <xdr:cNvPr id="6" name="Imagem 3" descr="http://gartic.uol.com.br/imgs/mural/wo/wolfet/livre_1278882719.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34475" y="154305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3381375</xdr:colOff>
      <xdr:row>6</xdr:row>
      <xdr:rowOff>0</xdr:rowOff>
    </xdr:from>
    <xdr:to>
      <xdr:col>13</xdr:col>
      <xdr:colOff>285750</xdr:colOff>
      <xdr:row>7</xdr:row>
      <xdr:rowOff>0</xdr:rowOff>
    </xdr:to>
    <xdr:pic>
      <xdr:nvPicPr>
        <xdr:cNvPr id="7" name="Imagem 9" descr="http://upload.wikimedia.org/wikipedia/commons/thumb/7/73/Flag_of_Romania.svg/250px-Flag_of_Romania.svg.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5850" y="1323975"/>
          <a:ext cx="3333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390525</xdr:colOff>
      <xdr:row>5</xdr:row>
      <xdr:rowOff>9525</xdr:rowOff>
    </xdr:from>
    <xdr:to>
      <xdr:col>14</xdr:col>
      <xdr:colOff>0</xdr:colOff>
      <xdr:row>6</xdr:row>
      <xdr:rowOff>9525</xdr:rowOff>
    </xdr:to>
    <xdr:pic>
      <xdr:nvPicPr>
        <xdr:cNvPr id="8" name="Imagem 8" descr="http://www.suapesquisa.com/paises/italia/bandeira_da_italia.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44000" y="11049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390525</xdr:colOff>
      <xdr:row>3</xdr:row>
      <xdr:rowOff>19050</xdr:rowOff>
    </xdr:from>
    <xdr:to>
      <xdr:col>14</xdr:col>
      <xdr:colOff>0</xdr:colOff>
      <xdr:row>4</xdr:row>
      <xdr:rowOff>19050</xdr:rowOff>
    </xdr:to>
    <xdr:pic>
      <xdr:nvPicPr>
        <xdr:cNvPr id="9" name="Imagem 8" descr="http://www.suapesquisa.com/paises/italia/bandeira_da_italia.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44000" y="65722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3400425</xdr:colOff>
      <xdr:row>8</xdr:row>
      <xdr:rowOff>9525</xdr:rowOff>
    </xdr:from>
    <xdr:to>
      <xdr:col>13</xdr:col>
      <xdr:colOff>295275</xdr:colOff>
      <xdr:row>9</xdr:row>
      <xdr:rowOff>9525</xdr:rowOff>
    </xdr:to>
    <xdr:pic>
      <xdr:nvPicPr>
        <xdr:cNvPr id="10" name="Imagem 8" descr="http://www.suapesquisa.com/paises/italia/bandeira_da_italia.gif"/>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724900" y="180022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10</xdr:row>
      <xdr:rowOff>19050</xdr:rowOff>
    </xdr:from>
    <xdr:to>
      <xdr:col>10</xdr:col>
      <xdr:colOff>0</xdr:colOff>
      <xdr:row>33</xdr:row>
      <xdr:rowOff>19050</xdr:rowOff>
    </xdr:to>
    <xdr:sp macro="" textlink="">
      <xdr:nvSpPr>
        <xdr:cNvPr id="3" name="CaixaDeTexto 2"/>
        <xdr:cNvSpPr txBox="1"/>
      </xdr:nvSpPr>
      <xdr:spPr>
        <a:xfrm>
          <a:off x="152400" y="2266950"/>
          <a:ext cx="4429125" cy="5257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PT" sz="1400" b="1">
              <a:solidFill>
                <a:schemeClr val="dk1"/>
              </a:solidFill>
              <a:effectLst/>
              <a:latin typeface="Book Antiqua" panose="02040602050305030304" pitchFamily="18" charset="0"/>
              <a:ea typeface="+mn-ea"/>
              <a:cs typeface="+mn-cs"/>
            </a:rPr>
            <a:t>December 1 - National Day of Romania</a:t>
          </a:r>
          <a:endParaRPr lang="pt-PT" sz="1400">
            <a:solidFill>
              <a:schemeClr val="dk1"/>
            </a:solidFill>
            <a:effectLst/>
            <a:latin typeface="Book Antiqua" panose="02040602050305030304" pitchFamily="18" charset="0"/>
            <a:ea typeface="+mn-ea"/>
            <a:cs typeface="+mn-cs"/>
          </a:endParaRPr>
        </a:p>
        <a:p>
          <a:pPr algn="ctr"/>
          <a:r>
            <a:rPr lang="ro-RO" sz="1400" b="1">
              <a:solidFill>
                <a:schemeClr val="dk1"/>
              </a:solidFill>
              <a:effectLst/>
              <a:latin typeface="Book Antiqua" panose="02040602050305030304" pitchFamily="18" charset="0"/>
              <a:ea typeface="+mn-ea"/>
              <a:cs typeface="+mn-cs"/>
            </a:rPr>
            <a:t>1 decembrie - Ziua națională a României</a:t>
          </a:r>
          <a:r>
            <a:rPr lang="ro-RO" sz="1400">
              <a:solidFill>
                <a:schemeClr val="dk1"/>
              </a:solidFill>
              <a:effectLst/>
              <a:latin typeface="Book Antiqua" panose="02040602050305030304" pitchFamily="18" charset="0"/>
              <a:ea typeface="+mn-ea"/>
              <a:cs typeface="+mn-cs"/>
            </a:rPr>
            <a:t> </a:t>
          </a:r>
          <a:endParaRPr lang="pt-PT" sz="1400">
            <a:solidFill>
              <a:schemeClr val="dk1"/>
            </a:solidFill>
            <a:effectLst/>
            <a:latin typeface="Book Antiqua" panose="02040602050305030304" pitchFamily="18" charset="0"/>
            <a:ea typeface="+mn-ea"/>
            <a:cs typeface="+mn-cs"/>
          </a:endParaRPr>
        </a:p>
        <a:p>
          <a:r>
            <a:rPr lang="pt-PT" sz="1200" b="1">
              <a:solidFill>
                <a:schemeClr val="dk1"/>
              </a:solidFill>
              <a:effectLst/>
              <a:latin typeface="Book Antiqua" panose="02040602050305030304" pitchFamily="18" charset="0"/>
              <a:ea typeface="+mn-ea"/>
              <a:cs typeface="+mn-cs"/>
            </a:rPr>
            <a:t> </a:t>
          </a:r>
          <a:endParaRPr lang="pt-PT" sz="1200">
            <a:solidFill>
              <a:schemeClr val="dk1"/>
            </a:solidFill>
            <a:effectLst/>
            <a:latin typeface="Book Antiqua" panose="02040602050305030304" pitchFamily="18" charset="0"/>
            <a:ea typeface="+mn-ea"/>
            <a:cs typeface="+mn-cs"/>
          </a:endParaRPr>
        </a:p>
        <a:p>
          <a:r>
            <a:rPr lang="pt-PT" sz="1200">
              <a:solidFill>
                <a:schemeClr val="dk1"/>
              </a:solidFill>
              <a:effectLst/>
              <a:latin typeface="Book Antiqua" panose="02040602050305030304" pitchFamily="18" charset="0"/>
              <a:ea typeface="+mn-ea"/>
              <a:cs typeface="+mn-cs"/>
            </a:rPr>
            <a:t>December 1 refers to the unification of Transylvania, Banat, Crisana and Maramures with Romania in 1918, namely the Proclamation of Alba Iulia, which took place on 1 December 1918. The choice of this day as a national holiday Romania was seen as an affront to the Hungarian minority in Romania, where on December 1 marked a political loss.</a:t>
          </a:r>
        </a:p>
        <a:p>
          <a:r>
            <a:rPr lang="pt-PT" sz="1200">
              <a:solidFill>
                <a:schemeClr val="dk1"/>
              </a:solidFill>
              <a:effectLst/>
              <a:latin typeface="Book Antiqua" panose="02040602050305030304" pitchFamily="18" charset="0"/>
              <a:ea typeface="+mn-ea"/>
              <a:cs typeface="+mn-cs"/>
            </a:rPr>
            <a:t>The first national day of December 1, whose central celebrations were held in 1990 in Alba Iulia, was marked by political polarization, Coposu's speech, then leader of the anti-communist opposition, being interrupted several times by jeers. Petre Roman, Prime Minister then said he was excited about the speech interrupted repeatedly opposition leader, what did President Ion Iliescu to give him a hand signal for stop, gesture filmed and broadcast widely by the mass Media. </a:t>
          </a:r>
        </a:p>
        <a:p>
          <a:r>
            <a:rPr lang="pt-PT" sz="1200">
              <a:solidFill>
                <a:schemeClr val="dk1"/>
              </a:solidFill>
              <a:effectLst/>
              <a:latin typeface="Book Antiqua" panose="02040602050305030304" pitchFamily="18" charset="0"/>
              <a:ea typeface="+mn-ea"/>
              <a:cs typeface="+mn-cs"/>
            </a:rPr>
            <a:t>Between 1866-1947 on May 10, then between 1948 -1989, August 23. By law no. 10 of July 31, 1990, promulgated by President Ion Iliescu and published in the Official Gazette no. 95 of 1 August 1990 on 1 December has been adopted as a national day and a public holiday in Romania. This provision was echoed by the Constitution of 1991, Article 12, paragraph 2. anticommunist opposition in Romania in 1990 advocated for the adoption December 22 national holiday, which is recorded in the transcripts of parliamentary debates.</a:t>
          </a:r>
        </a:p>
        <a:p>
          <a:endParaRPr lang="pt-PT" sz="1200">
            <a:latin typeface="Book Antiqua" panose="02040602050305030304" pitchFamily="18" charset="0"/>
          </a:endParaRPr>
        </a:p>
      </xdr:txBody>
    </xdr:sp>
    <xdr:clientData/>
  </xdr:twoCellAnchor>
  <xdr:twoCellAnchor editAs="oneCell">
    <xdr:from>
      <xdr:col>8</xdr:col>
      <xdr:colOff>381000</xdr:colOff>
      <xdr:row>9</xdr:row>
      <xdr:rowOff>114300</xdr:rowOff>
    </xdr:from>
    <xdr:to>
      <xdr:col>12</xdr:col>
      <xdr:colOff>1133475</xdr:colOff>
      <xdr:row>14</xdr:row>
      <xdr:rowOff>27305</xdr:rowOff>
    </xdr:to>
    <xdr:pic>
      <xdr:nvPicPr>
        <xdr:cNvPr id="12" name="Picture 2"/>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67175" y="2133600"/>
          <a:ext cx="2390775" cy="1056005"/>
        </a:xfrm>
        <a:prstGeom prst="rect">
          <a:avLst/>
        </a:prstGeom>
      </xdr:spPr>
    </xdr:pic>
    <xdr:clientData/>
  </xdr:twoCellAnchor>
  <xdr:twoCellAnchor editAs="oneCell">
    <xdr:from>
      <xdr:col>10</xdr:col>
      <xdr:colOff>457200</xdr:colOff>
      <xdr:row>20</xdr:row>
      <xdr:rowOff>219075</xdr:rowOff>
    </xdr:from>
    <xdr:to>
      <xdr:col>15</xdr:col>
      <xdr:colOff>232410</xdr:colOff>
      <xdr:row>28</xdr:row>
      <xdr:rowOff>171450</xdr:rowOff>
    </xdr:to>
    <xdr:pic>
      <xdr:nvPicPr>
        <xdr:cNvPr id="13" name="Imagem 12" descr="https://somersetfineart.files.wordpress.com/2013/12/wishing-merry-christmas-facebook-timeline-banner.jpg?w=800"/>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38725" y="4752975"/>
          <a:ext cx="4813935" cy="1781175"/>
        </a:xfrm>
        <a:prstGeom prst="rect">
          <a:avLst/>
        </a:prstGeom>
        <a:noFill/>
        <a:ln>
          <a:noFill/>
        </a:ln>
      </xdr:spPr>
    </xdr:pic>
    <xdr:clientData/>
  </xdr:twoCellAnchor>
  <xdr:twoCellAnchor editAs="oneCell">
    <xdr:from>
      <xdr:col>8</xdr:col>
      <xdr:colOff>419100</xdr:colOff>
      <xdr:row>0</xdr:row>
      <xdr:rowOff>114300</xdr:rowOff>
    </xdr:from>
    <xdr:to>
      <xdr:col>10</xdr:col>
      <xdr:colOff>19050</xdr:colOff>
      <xdr:row>2</xdr:row>
      <xdr:rowOff>257175</xdr:rowOff>
    </xdr:to>
    <xdr:pic>
      <xdr:nvPicPr>
        <xdr:cNvPr id="14" name="Imagem 13"/>
        <xdr:cNvPicPr/>
      </xdr:nvPicPr>
      <xdr:blipFill>
        <a:blip xmlns:r="http://schemas.openxmlformats.org/officeDocument/2006/relationships" r:embed="rId7"/>
        <a:stretch>
          <a:fillRect/>
        </a:stretch>
      </xdr:blipFill>
      <xdr:spPr>
        <a:xfrm>
          <a:off x="4105275" y="114300"/>
          <a:ext cx="495300" cy="514350"/>
        </a:xfrm>
        <a:prstGeom prst="rect">
          <a:avLst/>
        </a:prstGeom>
      </xdr:spPr>
    </xdr:pic>
    <xdr:clientData/>
  </xdr:twoCellAnchor>
</xdr:wsDr>
</file>

<file path=xl/theme/theme1.xml><?xml version="1.0" encoding="utf-8"?>
<a:theme xmlns:a="http://schemas.openxmlformats.org/drawingml/2006/main" name="10_college_cal">
  <a:themeElements>
    <a:clrScheme name="Assignment Calendar">
      <a:dk1>
        <a:sysClr val="windowText" lastClr="000000"/>
      </a:dk1>
      <a:lt1>
        <a:sysClr val="window" lastClr="FFFFFF"/>
      </a:lt1>
      <a:dk2>
        <a:srgbClr val="1F497D"/>
      </a:dk2>
      <a:lt2>
        <a:srgbClr val="EEECE1"/>
      </a:lt2>
      <a:accent1>
        <a:srgbClr val="39B5D4"/>
      </a:accent1>
      <a:accent2>
        <a:srgbClr val="FFCCCC"/>
      </a:accent2>
      <a:accent3>
        <a:srgbClr val="4DBB68"/>
      </a:accent3>
      <a:accent4>
        <a:srgbClr val="FFFB59"/>
      </a:accent4>
      <a:accent5>
        <a:srgbClr val="FF9900"/>
      </a:accent5>
      <a:accent6>
        <a:srgbClr val="AC75D5"/>
      </a:accent6>
      <a:hlink>
        <a:srgbClr val="57B5D4"/>
      </a:hlink>
      <a:folHlink>
        <a:srgbClr val="BA4F8B"/>
      </a:folHlink>
    </a:clrScheme>
    <a:fontScheme name="Office Classic 2">
      <a:maj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ajorFont>
      <a:min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4" tint="-0.499984740745262"/>
    <pageSetUpPr fitToPage="1"/>
  </sheetPr>
  <dimension ref="A1:AO33"/>
  <sheetViews>
    <sheetView showGridLines="0" tabSelected="1" topLeftCell="B1" zoomScaleNormal="100" zoomScalePageLayoutView="84" workbookViewId="0">
      <selection activeCell="R32" sqref="R32"/>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20" ht="30.75" customHeight="1" x14ac:dyDescent="0.2">
      <c r="C1" s="56"/>
      <c r="D1" s="56"/>
      <c r="E1" s="56"/>
      <c r="F1" s="56"/>
      <c r="G1" s="56"/>
      <c r="H1" s="56"/>
      <c r="I1" s="56"/>
    </row>
    <row r="2" spans="1:20" ht="18" customHeight="1" x14ac:dyDescent="0.2">
      <c r="A2" s="2"/>
      <c r="B2" s="65" t="s">
        <v>13</v>
      </c>
      <c r="C2" s="15"/>
      <c r="D2" s="15"/>
      <c r="E2" s="15"/>
      <c r="F2" s="15"/>
      <c r="G2" s="15"/>
      <c r="H2" s="15"/>
      <c r="I2" s="15"/>
      <c r="J2" s="16"/>
      <c r="K2" s="108" t="s">
        <v>87</v>
      </c>
      <c r="L2" s="109">
        <v>2013</v>
      </c>
      <c r="M2" s="109"/>
      <c r="N2" s="115">
        <v>2016</v>
      </c>
    </row>
    <row r="3" spans="1:20" ht="21" customHeight="1" x14ac:dyDescent="0.2">
      <c r="A3" s="2"/>
      <c r="B3" s="66"/>
      <c r="C3" s="53" t="s">
        <v>84</v>
      </c>
      <c r="D3" s="53" t="s">
        <v>1</v>
      </c>
      <c r="E3" s="53" t="s">
        <v>85</v>
      </c>
      <c r="F3" s="53" t="s">
        <v>1</v>
      </c>
      <c r="G3" s="53" t="s">
        <v>86</v>
      </c>
      <c r="H3" s="53" t="s">
        <v>0</v>
      </c>
      <c r="I3" s="53" t="s">
        <v>0</v>
      </c>
      <c r="J3" s="3"/>
      <c r="K3" s="110"/>
      <c r="L3" s="111"/>
      <c r="M3" s="111"/>
      <c r="N3" s="116"/>
    </row>
    <row r="4" spans="1:20" ht="18" customHeight="1" x14ac:dyDescent="0.2">
      <c r="A4" s="2"/>
      <c r="B4" s="66"/>
      <c r="C4" s="4">
        <f>IF(DAY(JanSun1)=1,JanSun1-6,JanSun1+1)</f>
        <v>42366</v>
      </c>
      <c r="D4" s="4">
        <f>IF(DAY(JanSun1)=1,JanSun1-5,JanSun1+2)</f>
        <v>42367</v>
      </c>
      <c r="E4" s="4">
        <f>IF(DAY(JanSun1)=1,JanSun1-4,JanSun1+3)</f>
        <v>42368</v>
      </c>
      <c r="F4" s="4">
        <f>IF(DAY(JanSun1)=1,JanSun1-3,JanSun1+4)</f>
        <v>42369</v>
      </c>
      <c r="G4" s="4">
        <f>IF(DAY(JanSun1)=1,JanSun1-2,JanSun1+5)</f>
        <v>42370</v>
      </c>
      <c r="H4" s="4">
        <f>IF(DAY(JanSun1)=1,JanSun1-1,JanSun1+6)</f>
        <v>42371</v>
      </c>
      <c r="I4" s="4">
        <f>IF(DAY(JanSun1)=1,JanSun1,JanSun1+7)</f>
        <v>42372</v>
      </c>
      <c r="J4" s="3"/>
      <c r="K4" s="112"/>
      <c r="L4" s="10">
        <v>8</v>
      </c>
      <c r="M4" s="113" t="s">
        <v>55</v>
      </c>
      <c r="N4" s="114"/>
    </row>
    <row r="5" spans="1:20" ht="18" customHeight="1" x14ac:dyDescent="0.2">
      <c r="A5" s="2"/>
      <c r="B5" s="66"/>
      <c r="C5" s="4">
        <f>IF(DAY(JanSun1)=1,JanSun1+1,JanSun1+8)</f>
        <v>42373</v>
      </c>
      <c r="D5" s="4">
        <f>IF(DAY(JanSun1)=1,JanSun1+2,JanSun1+9)</f>
        <v>42374</v>
      </c>
      <c r="E5" s="4">
        <f>IF(DAY(JanSun1)=1,JanSun1+3,JanSun1+10)</f>
        <v>42375</v>
      </c>
      <c r="F5" s="4">
        <f>IF(DAY(JanSun1)=1,JanSun1+4,JanSun1+11)</f>
        <v>42376</v>
      </c>
      <c r="G5" s="4">
        <f>IF(DAY(JanSun1)=1,JanSun1+5,JanSun1+12)</f>
        <v>42377</v>
      </c>
      <c r="H5" s="4">
        <f>IF(DAY(JanSun1)=1,JanSun1+6,JanSun1+13)</f>
        <v>42378</v>
      </c>
      <c r="I5" s="4">
        <f>IF(DAY(JanSun1)=1,JanSun1+7,JanSun1+14)</f>
        <v>42379</v>
      </c>
      <c r="J5" s="3"/>
      <c r="K5" s="86"/>
      <c r="L5" s="11">
        <v>18</v>
      </c>
      <c r="M5" s="82" t="s">
        <v>47</v>
      </c>
      <c r="N5" s="83"/>
    </row>
    <row r="6" spans="1:20" ht="18" customHeight="1" x14ac:dyDescent="0.2">
      <c r="A6" s="2"/>
      <c r="B6" s="66"/>
      <c r="C6" s="4">
        <f>IF(DAY(JanSun1)=1,JanSun1+8,JanSun1+15)</f>
        <v>42380</v>
      </c>
      <c r="D6" s="4">
        <f>IF(DAY(JanSun1)=1,JanSun1+9,JanSun1+16)</f>
        <v>42381</v>
      </c>
      <c r="E6" s="4">
        <f>IF(DAY(JanSun1)=1,JanSun1+10,JanSun1+17)</f>
        <v>42382</v>
      </c>
      <c r="F6" s="4">
        <f>IF(DAY(JanSun1)=1,JanSun1+11,JanSun1+18)</f>
        <v>42383</v>
      </c>
      <c r="G6" s="4">
        <f>IF(DAY(JanSun1)=1,JanSun1+12,JanSun1+19)</f>
        <v>42384</v>
      </c>
      <c r="H6" s="4">
        <f>IF(DAY(JanSun1)=1,JanSun1+13,JanSun1+20)</f>
        <v>42385</v>
      </c>
      <c r="I6" s="4">
        <f>IF(DAY(JanSun1)=1,JanSun1+14,JanSun1+21)</f>
        <v>42386</v>
      </c>
      <c r="J6" s="3"/>
      <c r="K6" s="86"/>
      <c r="L6" s="11"/>
      <c r="M6" s="82"/>
      <c r="N6" s="83"/>
      <c r="T6" s="57"/>
    </row>
    <row r="7" spans="1:20" ht="18" customHeight="1" x14ac:dyDescent="0.2">
      <c r="A7" s="2"/>
      <c r="B7" s="66"/>
      <c r="C7" s="4">
        <f>IF(DAY(JanSun1)=1,JanSun1+15,JanSun1+22)</f>
        <v>42387</v>
      </c>
      <c r="D7" s="4">
        <f>IF(DAY(JanSun1)=1,JanSun1+16,JanSun1+23)</f>
        <v>42388</v>
      </c>
      <c r="E7" s="4">
        <f>IF(DAY(JanSun1)=1,JanSun1+17,JanSun1+24)</f>
        <v>42389</v>
      </c>
      <c r="F7" s="4">
        <f>IF(DAY(JanSun1)=1,JanSun1+18,JanSun1+25)</f>
        <v>42390</v>
      </c>
      <c r="G7" s="4">
        <f>IF(DAY(JanSun1)=1,JanSun1+19,JanSun1+26)</f>
        <v>42391</v>
      </c>
      <c r="H7" s="54">
        <f>IF(DAY(JanSun1)=1,JanSun1+20,JanSun1+27)</f>
        <v>42392</v>
      </c>
      <c r="I7" s="4">
        <f>IF(DAY(JanSun1)=1,JanSun1+21,JanSun1+28)</f>
        <v>42393</v>
      </c>
      <c r="J7" s="3"/>
      <c r="K7" s="5"/>
      <c r="L7" s="11"/>
      <c r="M7" s="82"/>
      <c r="N7" s="83"/>
      <c r="T7" s="57"/>
    </row>
    <row r="8" spans="1:20" ht="18.75" customHeight="1" x14ac:dyDescent="0.2">
      <c r="A8" s="2"/>
      <c r="B8" s="66"/>
      <c r="C8" s="4">
        <f>IF(DAY(JanSun1)=1,JanSun1+22,JanSun1+29)</f>
        <v>42394</v>
      </c>
      <c r="D8" s="4">
        <f>IF(DAY(JanSun1)=1,JanSun1+23,JanSun1+30)</f>
        <v>42395</v>
      </c>
      <c r="E8" s="4">
        <f>IF(DAY(JanSun1)=1,JanSun1+24,JanSun1+31)</f>
        <v>42396</v>
      </c>
      <c r="F8" s="4">
        <f>IF(DAY(JanSun1)=1,JanSun1+25,JanSun1+32)</f>
        <v>42397</v>
      </c>
      <c r="G8" s="4">
        <f>IF(DAY(JanSun1)=1,JanSun1+26,JanSun1+33)</f>
        <v>42398</v>
      </c>
      <c r="H8" s="4">
        <f>IF(DAY(JanSun1)=1,JanSun1+27,JanSun1+34)</f>
        <v>42399</v>
      </c>
      <c r="I8" s="4">
        <f>IF(DAY(JanSun1)=1,JanSun1+28,JanSun1+35)</f>
        <v>42400</v>
      </c>
      <c r="J8" s="3"/>
      <c r="K8" s="5"/>
      <c r="L8" s="11"/>
      <c r="M8" s="82"/>
      <c r="N8" s="83"/>
      <c r="T8" s="57"/>
    </row>
    <row r="9" spans="1:20" ht="18" customHeight="1" x14ac:dyDescent="0.2">
      <c r="A9" s="2"/>
      <c r="B9" s="66"/>
      <c r="C9" s="4">
        <f>IF(DAY(JanSun1)=1,JanSun1+29,JanSun1+36)</f>
        <v>42401</v>
      </c>
      <c r="D9" s="4">
        <f>IF(DAY(JanSun1)=1,JanSun1+30,JanSun1+37)</f>
        <v>42402</v>
      </c>
      <c r="E9" s="4">
        <f>IF(DAY(JanSun1)=1,JanSun1+31,JanSun1+38)</f>
        <v>42403</v>
      </c>
      <c r="F9" s="4">
        <f>IF(DAY(JanSun1)=1,JanSun1+32,JanSun1+39)</f>
        <v>42404</v>
      </c>
      <c r="G9" s="4">
        <f>IF(DAY(JanSun1)=1,JanSun1+33,JanSun1+40)</f>
        <v>42405</v>
      </c>
      <c r="H9" s="4">
        <f>IF(DAY(JanSun1)=1,JanSun1+34,JanSun1+41)</f>
        <v>42406</v>
      </c>
      <c r="I9" s="4">
        <f>IF(DAY(JanSun1)=1,JanSun1+35,JanSun1+42)</f>
        <v>42407</v>
      </c>
      <c r="J9" s="3"/>
      <c r="K9" s="6"/>
      <c r="L9" s="12"/>
      <c r="M9" s="91"/>
      <c r="N9" s="92"/>
      <c r="T9" s="57"/>
    </row>
    <row r="10" spans="1:20" ht="18" customHeight="1" x14ac:dyDescent="0.2">
      <c r="A10" s="2"/>
      <c r="B10" s="67"/>
      <c r="C10" s="17"/>
      <c r="D10" s="17"/>
      <c r="E10" s="17"/>
      <c r="F10" s="17"/>
      <c r="G10" s="17"/>
      <c r="H10" s="17"/>
      <c r="I10" s="17"/>
      <c r="J10" s="18"/>
      <c r="K10" s="85"/>
      <c r="L10" s="10"/>
      <c r="M10" s="93"/>
      <c r="N10" s="94"/>
      <c r="T10" s="57"/>
    </row>
    <row r="11" spans="1:20" ht="18" customHeight="1" x14ac:dyDescent="0.2">
      <c r="A11" s="2"/>
      <c r="B11" s="68"/>
      <c r="C11" s="69"/>
      <c r="D11" s="69"/>
      <c r="E11" s="69"/>
      <c r="F11" s="69"/>
      <c r="G11" s="69"/>
      <c r="H11" s="69"/>
      <c r="I11" s="69"/>
      <c r="J11" s="70"/>
      <c r="K11" s="86"/>
      <c r="L11" s="11"/>
      <c r="M11" s="82"/>
      <c r="N11" s="83"/>
      <c r="T11" s="57"/>
    </row>
    <row r="12" spans="1:20" ht="18" customHeight="1" x14ac:dyDescent="0.2">
      <c r="A12" s="2"/>
      <c r="B12" s="71"/>
      <c r="C12" s="72"/>
      <c r="D12" s="72"/>
      <c r="E12" s="72"/>
      <c r="F12" s="72"/>
      <c r="G12" s="72"/>
      <c r="H12" s="72"/>
      <c r="I12" s="72"/>
      <c r="J12" s="73"/>
      <c r="K12" s="86"/>
      <c r="L12" s="11"/>
      <c r="M12" s="82"/>
      <c r="N12" s="83"/>
      <c r="T12" s="57"/>
    </row>
    <row r="13" spans="1:20" ht="18" customHeight="1" x14ac:dyDescent="0.2">
      <c r="B13" s="21"/>
      <c r="C13" s="62"/>
      <c r="D13" s="64"/>
      <c r="E13" s="62"/>
      <c r="F13" s="64"/>
      <c r="G13" s="62"/>
      <c r="H13" s="64"/>
      <c r="I13" s="62"/>
      <c r="J13" s="63"/>
      <c r="K13" s="5"/>
      <c r="L13" s="11"/>
      <c r="M13" s="82"/>
      <c r="N13" s="83"/>
      <c r="T13" s="57"/>
    </row>
    <row r="14" spans="1:20" ht="18" customHeight="1" x14ac:dyDescent="0.2">
      <c r="B14" s="22"/>
      <c r="C14" s="60"/>
      <c r="D14" s="61"/>
      <c r="E14" s="60"/>
      <c r="F14" s="61"/>
      <c r="G14" s="60"/>
      <c r="H14" s="61"/>
      <c r="I14" s="60"/>
      <c r="J14" s="77"/>
      <c r="K14" s="5"/>
      <c r="L14" s="11"/>
      <c r="M14" s="82"/>
      <c r="N14" s="83"/>
      <c r="T14" s="57"/>
    </row>
    <row r="15" spans="1:20" ht="18" customHeight="1" x14ac:dyDescent="0.2">
      <c r="B15" s="23"/>
      <c r="C15" s="58"/>
      <c r="D15" s="59"/>
      <c r="E15" s="58"/>
      <c r="F15" s="59"/>
      <c r="G15" s="58"/>
      <c r="H15" s="59"/>
      <c r="I15" s="78"/>
      <c r="J15" s="79"/>
      <c r="K15" s="7"/>
      <c r="L15" s="13"/>
      <c r="M15" s="91"/>
      <c r="N15" s="92"/>
      <c r="T15" s="57"/>
    </row>
    <row r="16" spans="1:20" ht="18" customHeight="1" x14ac:dyDescent="0.2">
      <c r="B16" s="22"/>
      <c r="C16" s="74"/>
      <c r="D16" s="75"/>
      <c r="E16" s="74"/>
      <c r="F16" s="75"/>
      <c r="G16" s="74"/>
      <c r="H16" s="75"/>
      <c r="I16" s="80"/>
      <c r="J16" s="81"/>
      <c r="K16" s="117"/>
      <c r="L16" s="10"/>
      <c r="M16" s="93"/>
      <c r="N16" s="94"/>
      <c r="T16" s="57"/>
    </row>
    <row r="17" spans="2:20" ht="18" customHeight="1" x14ac:dyDescent="0.2">
      <c r="B17" s="23"/>
      <c r="C17" s="58"/>
      <c r="D17" s="59"/>
      <c r="E17" s="58"/>
      <c r="F17" s="59"/>
      <c r="G17" s="58"/>
      <c r="H17" s="59"/>
      <c r="I17" s="78"/>
      <c r="J17" s="79"/>
      <c r="K17" s="118"/>
      <c r="L17" s="11"/>
      <c r="M17" s="82"/>
      <c r="N17" s="83"/>
      <c r="T17" s="57"/>
    </row>
    <row r="18" spans="2:20" ht="18" customHeight="1" x14ac:dyDescent="0.2">
      <c r="B18" s="24"/>
      <c r="C18" s="74"/>
      <c r="D18" s="75"/>
      <c r="E18" s="74"/>
      <c r="F18" s="75"/>
      <c r="G18" s="74"/>
      <c r="H18" s="75"/>
      <c r="I18" s="74"/>
      <c r="J18" s="76"/>
      <c r="K18" s="118"/>
      <c r="L18" s="11"/>
      <c r="M18" s="82"/>
      <c r="N18" s="83"/>
      <c r="T18" s="57"/>
    </row>
    <row r="19" spans="2:20" ht="18" customHeight="1" x14ac:dyDescent="0.2">
      <c r="B19" s="23"/>
      <c r="C19" s="58"/>
      <c r="D19" s="59"/>
      <c r="E19" s="58"/>
      <c r="F19" s="59"/>
      <c r="G19" s="58"/>
      <c r="H19" s="59"/>
      <c r="I19" s="78"/>
      <c r="J19" s="79"/>
      <c r="K19" s="5"/>
      <c r="L19" s="11"/>
      <c r="M19" s="82"/>
      <c r="N19" s="83"/>
      <c r="T19" s="57"/>
    </row>
    <row r="20" spans="2:20" ht="18" customHeight="1" x14ac:dyDescent="0.2">
      <c r="B20" s="22"/>
      <c r="C20" s="74"/>
      <c r="D20" s="75"/>
      <c r="E20" s="74"/>
      <c r="F20" s="75"/>
      <c r="G20" s="74"/>
      <c r="H20" s="75"/>
      <c r="I20" s="74"/>
      <c r="J20" s="76"/>
      <c r="K20" s="5"/>
      <c r="L20" s="11"/>
      <c r="M20" s="82"/>
      <c r="N20" s="83"/>
      <c r="T20" s="57"/>
    </row>
    <row r="21" spans="2:20" ht="18" customHeight="1" x14ac:dyDescent="0.2">
      <c r="B21" s="23"/>
      <c r="C21" s="58"/>
      <c r="D21" s="59"/>
      <c r="E21" s="58"/>
      <c r="F21" s="59"/>
      <c r="G21" s="58"/>
      <c r="H21" s="59"/>
      <c r="I21" s="87"/>
      <c r="J21" s="88"/>
      <c r="K21" s="7"/>
      <c r="L21" s="13"/>
      <c r="M21" s="91"/>
      <c r="N21" s="92"/>
    </row>
    <row r="22" spans="2:20" ht="18" customHeight="1" x14ac:dyDescent="0.2">
      <c r="B22" s="22"/>
      <c r="C22" s="74"/>
      <c r="D22" s="75"/>
      <c r="E22" s="74"/>
      <c r="F22" s="75"/>
      <c r="G22" s="74"/>
      <c r="H22" s="75"/>
      <c r="I22" s="74"/>
      <c r="J22" s="76"/>
      <c r="K22" s="117"/>
      <c r="L22" s="10"/>
      <c r="M22" s="93"/>
      <c r="N22" s="94"/>
    </row>
    <row r="23" spans="2:20" ht="18" customHeight="1" x14ac:dyDescent="0.2">
      <c r="B23" s="23"/>
      <c r="C23" s="58"/>
      <c r="D23" s="59"/>
      <c r="E23" s="58"/>
      <c r="F23" s="59"/>
      <c r="G23" s="58"/>
      <c r="H23" s="59"/>
      <c r="I23" s="78"/>
      <c r="J23" s="79"/>
      <c r="K23" s="118"/>
      <c r="L23" s="11"/>
      <c r="M23" s="82"/>
      <c r="N23" s="83"/>
    </row>
    <row r="24" spans="2:20" ht="18" customHeight="1" x14ac:dyDescent="0.2">
      <c r="B24" s="22"/>
      <c r="C24" s="74"/>
      <c r="D24" s="75"/>
      <c r="E24" s="74"/>
      <c r="F24" s="75"/>
      <c r="G24" s="74"/>
      <c r="H24" s="75"/>
      <c r="I24" s="74"/>
      <c r="J24" s="76"/>
      <c r="K24" s="118"/>
      <c r="L24" s="11"/>
      <c r="M24" s="82"/>
      <c r="N24" s="83"/>
    </row>
    <row r="25" spans="2:20" ht="18" customHeight="1" x14ac:dyDescent="0.2">
      <c r="B25" s="23"/>
      <c r="C25" s="101"/>
      <c r="D25" s="102"/>
      <c r="E25" s="102"/>
      <c r="F25" s="103"/>
      <c r="G25" s="58"/>
      <c r="H25" s="59"/>
      <c r="I25" s="78"/>
      <c r="J25" s="79"/>
      <c r="K25" s="118"/>
      <c r="L25" s="11"/>
      <c r="M25" s="82"/>
      <c r="N25" s="83"/>
    </row>
    <row r="26" spans="2:20" ht="18" customHeight="1" x14ac:dyDescent="0.2">
      <c r="B26" s="22"/>
      <c r="C26" s="104"/>
      <c r="D26" s="102"/>
      <c r="E26" s="102"/>
      <c r="F26" s="103"/>
      <c r="G26" s="74"/>
      <c r="H26" s="75"/>
      <c r="I26" s="74"/>
      <c r="J26" s="76"/>
      <c r="K26" s="5"/>
      <c r="L26" s="11"/>
      <c r="M26" s="82"/>
      <c r="N26" s="83"/>
    </row>
    <row r="27" spans="2:20" ht="18" customHeight="1" x14ac:dyDescent="0.2">
      <c r="B27" s="23"/>
      <c r="C27" s="105"/>
      <c r="D27" s="106"/>
      <c r="E27" s="106"/>
      <c r="F27" s="107"/>
      <c r="G27" s="58"/>
      <c r="H27" s="59"/>
      <c r="I27" s="78"/>
      <c r="J27" s="79"/>
      <c r="K27" s="7"/>
      <c r="L27" s="13"/>
      <c r="M27" s="91"/>
      <c r="N27" s="92"/>
    </row>
    <row r="28" spans="2:20" ht="18" customHeight="1" x14ac:dyDescent="0.2">
      <c r="B28" s="22"/>
      <c r="C28" s="74"/>
      <c r="D28" s="75"/>
      <c r="E28" s="74"/>
      <c r="F28" s="75"/>
      <c r="G28" s="74"/>
      <c r="H28" s="75"/>
      <c r="I28" s="74"/>
      <c r="J28" s="76"/>
      <c r="K28" s="85"/>
      <c r="L28" s="10"/>
      <c r="M28" s="93"/>
      <c r="N28" s="94"/>
    </row>
    <row r="29" spans="2:20" ht="18" customHeight="1" x14ac:dyDescent="0.2">
      <c r="B29" s="23"/>
      <c r="C29" s="58"/>
      <c r="D29" s="59"/>
      <c r="E29" s="58"/>
      <c r="F29" s="59"/>
      <c r="G29" s="58"/>
      <c r="H29" s="59"/>
      <c r="I29" s="58"/>
      <c r="J29" s="84"/>
      <c r="K29" s="86"/>
      <c r="L29" s="11"/>
      <c r="M29" s="82"/>
      <c r="N29" s="83"/>
    </row>
    <row r="30" spans="2:20" ht="18" customHeight="1" x14ac:dyDescent="0.2">
      <c r="B30" s="22"/>
      <c r="C30" s="74"/>
      <c r="D30" s="75"/>
      <c r="E30" s="74"/>
      <c r="F30" s="75"/>
      <c r="G30" s="74"/>
      <c r="H30" s="75"/>
      <c r="I30" s="97"/>
      <c r="J30" s="98"/>
      <c r="K30" s="86"/>
      <c r="L30" s="11"/>
      <c r="M30" s="82"/>
      <c r="N30" s="83"/>
    </row>
    <row r="31" spans="2:20" ht="18" customHeight="1" x14ac:dyDescent="0.2">
      <c r="B31" s="23"/>
      <c r="C31" s="58"/>
      <c r="D31" s="59"/>
      <c r="E31" s="58"/>
      <c r="F31" s="59"/>
      <c r="G31" s="58"/>
      <c r="H31" s="59"/>
      <c r="I31" s="58"/>
      <c r="J31" s="84"/>
      <c r="K31" s="8"/>
      <c r="L31" s="11"/>
      <c r="M31" s="82"/>
      <c r="N31" s="83"/>
    </row>
    <row r="32" spans="2:20" ht="18" customHeight="1" x14ac:dyDescent="0.2">
      <c r="B32" s="22"/>
      <c r="C32" s="74"/>
      <c r="D32" s="75"/>
      <c r="E32" s="74"/>
      <c r="F32" s="75"/>
      <c r="G32" s="74"/>
      <c r="H32" s="75"/>
      <c r="I32" s="80"/>
      <c r="J32" s="81"/>
      <c r="K32" s="8"/>
      <c r="L32" s="11"/>
      <c r="M32" s="82"/>
      <c r="N32" s="83"/>
    </row>
    <row r="33" spans="2:14" ht="18" customHeight="1" x14ac:dyDescent="0.2">
      <c r="B33" s="25"/>
      <c r="C33" s="95"/>
      <c r="D33" s="96"/>
      <c r="E33" s="95"/>
      <c r="F33" s="96"/>
      <c r="G33" s="95"/>
      <c r="H33" s="96"/>
      <c r="I33" s="99"/>
      <c r="J33" s="100"/>
      <c r="K33" s="9"/>
      <c r="L33" s="14"/>
      <c r="M33" s="89"/>
      <c r="N33" s="90"/>
    </row>
  </sheetData>
  <mergeCells count="120">
    <mergeCell ref="K16:K18"/>
    <mergeCell ref="K22:K25"/>
    <mergeCell ref="M12:N12"/>
    <mergeCell ref="M13:N13"/>
    <mergeCell ref="M14:N14"/>
    <mergeCell ref="M15:N15"/>
    <mergeCell ref="M16:N16"/>
    <mergeCell ref="M17:N17"/>
    <mergeCell ref="M18:N18"/>
    <mergeCell ref="M19:N19"/>
    <mergeCell ref="M20:N20"/>
    <mergeCell ref="K2:M3"/>
    <mergeCell ref="K10:K12"/>
    <mergeCell ref="K4:K6"/>
    <mergeCell ref="M4:N4"/>
    <mergeCell ref="M5:N5"/>
    <mergeCell ref="M6:N6"/>
    <mergeCell ref="M7:N7"/>
    <mergeCell ref="M8:N8"/>
    <mergeCell ref="M9:N9"/>
    <mergeCell ref="M10:N10"/>
    <mergeCell ref="M11:N11"/>
    <mergeCell ref="N2:N3"/>
    <mergeCell ref="C30:D30"/>
    <mergeCell ref="C31:D31"/>
    <mergeCell ref="C32:D32"/>
    <mergeCell ref="C33:D33"/>
    <mergeCell ref="C24:D24"/>
    <mergeCell ref="C28:D28"/>
    <mergeCell ref="C23:D23"/>
    <mergeCell ref="C22:D22"/>
    <mergeCell ref="C21:D21"/>
    <mergeCell ref="C25:F27"/>
    <mergeCell ref="E28:F28"/>
    <mergeCell ref="E24:F24"/>
    <mergeCell ref="E33:F33"/>
    <mergeCell ref="E32:F32"/>
    <mergeCell ref="E31:F31"/>
    <mergeCell ref="E30:F30"/>
    <mergeCell ref="E29:F29"/>
    <mergeCell ref="E23:F23"/>
    <mergeCell ref="E22:F22"/>
    <mergeCell ref="E21:F21"/>
    <mergeCell ref="E20:F20"/>
    <mergeCell ref="E19:F19"/>
    <mergeCell ref="C16:D16"/>
    <mergeCell ref="C17:D17"/>
    <mergeCell ref="C18:D18"/>
    <mergeCell ref="C29:D29"/>
    <mergeCell ref="C20:D20"/>
    <mergeCell ref="C19:D19"/>
    <mergeCell ref="E18:F18"/>
    <mergeCell ref="G21:H21"/>
    <mergeCell ref="I19:J19"/>
    <mergeCell ref="I20:J20"/>
    <mergeCell ref="I21:J21"/>
    <mergeCell ref="G17:H17"/>
    <mergeCell ref="I17:J17"/>
    <mergeCell ref="M32:N32"/>
    <mergeCell ref="M33:N33"/>
    <mergeCell ref="M26:N26"/>
    <mergeCell ref="M27:N27"/>
    <mergeCell ref="M28:N28"/>
    <mergeCell ref="M29:N29"/>
    <mergeCell ref="M30:N30"/>
    <mergeCell ref="M21:N21"/>
    <mergeCell ref="M22:N22"/>
    <mergeCell ref="M23:N23"/>
    <mergeCell ref="M24:N24"/>
    <mergeCell ref="M25:N25"/>
    <mergeCell ref="G32:H32"/>
    <mergeCell ref="G33:H33"/>
    <mergeCell ref="I30:J30"/>
    <mergeCell ref="I31:J31"/>
    <mergeCell ref="I32:J32"/>
    <mergeCell ref="I33:J33"/>
    <mergeCell ref="M31:N31"/>
    <mergeCell ref="G30:H30"/>
    <mergeCell ref="G31:H31"/>
    <mergeCell ref="I22:J22"/>
    <mergeCell ref="I23:J23"/>
    <mergeCell ref="G22:H22"/>
    <mergeCell ref="G23:H23"/>
    <mergeCell ref="G24:H24"/>
    <mergeCell ref="I24:J24"/>
    <mergeCell ref="I25:J25"/>
    <mergeCell ref="I26:J26"/>
    <mergeCell ref="I27:J27"/>
    <mergeCell ref="I28:J28"/>
    <mergeCell ref="I29:J29"/>
    <mergeCell ref="G25:H25"/>
    <mergeCell ref="G26:H26"/>
    <mergeCell ref="G27:H27"/>
    <mergeCell ref="G28:H28"/>
    <mergeCell ref="G29:H29"/>
    <mergeCell ref="K28:K30"/>
    <mergeCell ref="C1:I1"/>
    <mergeCell ref="T6:T20"/>
    <mergeCell ref="C15:D15"/>
    <mergeCell ref="C14:D14"/>
    <mergeCell ref="I13:J13"/>
    <mergeCell ref="G13:H13"/>
    <mergeCell ref="E13:F13"/>
    <mergeCell ref="C13:D13"/>
    <mergeCell ref="B2:B10"/>
    <mergeCell ref="B11:J12"/>
    <mergeCell ref="G20:H20"/>
    <mergeCell ref="G18:H18"/>
    <mergeCell ref="I18:J18"/>
    <mergeCell ref="G19:H19"/>
    <mergeCell ref="G14:H14"/>
    <mergeCell ref="I14:J14"/>
    <mergeCell ref="G15:H15"/>
    <mergeCell ref="I15:J15"/>
    <mergeCell ref="G16:H16"/>
    <mergeCell ref="I16:J16"/>
    <mergeCell ref="E17:F17"/>
    <mergeCell ref="E16:F16"/>
    <mergeCell ref="E15:F15"/>
    <mergeCell ref="E14:F14"/>
  </mergeCells>
  <phoneticPr fontId="2" type="noConversion"/>
  <conditionalFormatting sqref="C4:H4">
    <cfRule type="expression" dxfId="47" priority="4" stopIfTrue="1">
      <formula>DAY(C4)&gt;8</formula>
    </cfRule>
  </conditionalFormatting>
  <conditionalFormatting sqref="C8:I10">
    <cfRule type="expression" dxfId="46" priority="3" stopIfTrue="1">
      <formula>AND(DAY(C8)&gt;=1,DAY(C8)&lt;=15)</formula>
    </cfRule>
  </conditionalFormatting>
  <conditionalFormatting sqref="C4:I9">
    <cfRule type="expression" dxfId="45" priority="15">
      <formula>VLOOKUP(DAY(C4),AssignmentDays,1,FALSE)=DAY(C4)</formula>
    </cfRule>
  </conditionalFormatting>
  <conditionalFormatting sqref="G14:J33 D14:F24 B14:B33 C14:C25 C28:F33">
    <cfRule type="expression" dxfId="44" priority="1">
      <formula>B14&lt;&gt;""</formula>
    </cfRule>
  </conditionalFormatting>
  <dataValidations count="1">
    <dataValidation allowBlank="1" showInputMessage="1" showErrorMessage="1" errorTitle="Invalid Year" error="Enter a year from 1900 to 9999, or use the scroll bar to find a year." sqref="N2"/>
  </dataValidations>
  <printOptions horizontalCentered="1"/>
  <pageMargins left="0.5" right="0.5" top="0.5" bottom="0.5" header="0.3" footer="0.3"/>
  <pageSetup paperSize="9" scale="60"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025" r:id="rId4" name="Spinner 1">
              <controlPr defaultSize="0" print="0" autoPict="0" altText="Spinner control. Use spinner to change calendar year or type desired year in cell L2 ">
                <anchor moveWithCells="1">
                  <from>
                    <xdr:col>14</xdr:col>
                    <xdr:colOff>28575</xdr:colOff>
                    <xdr:row>1</xdr:row>
                    <xdr:rowOff>85725</xdr:rowOff>
                  </from>
                  <to>
                    <xdr:col>15</xdr:col>
                    <xdr:colOff>0</xdr:colOff>
                    <xdr:row>2</xdr:row>
                    <xdr:rowOff>161925</xdr:rowOff>
                  </to>
                </anchor>
              </controlPr>
            </control>
          </mc:Choice>
        </mc:AlternateContent>
      </controls>
    </mc:Choice>
  </mc:AlternateContent>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499984740745262"/>
    <pageSetUpPr fitToPage="1"/>
  </sheetPr>
  <dimension ref="A1:AO33"/>
  <sheetViews>
    <sheetView showGridLines="0" zoomScaleNormal="100" zoomScalePageLayoutView="84" workbookViewId="0">
      <selection activeCell="T14" sqref="T14"/>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5" ht="11.25" customHeight="1" x14ac:dyDescent="0.2"/>
    <row r="2" spans="1:15" ht="18" customHeight="1" x14ac:dyDescent="0.2">
      <c r="A2" s="2"/>
      <c r="B2" s="124" t="s">
        <v>12</v>
      </c>
      <c r="C2" s="15"/>
      <c r="D2" s="15"/>
      <c r="E2" s="15"/>
      <c r="F2" s="15"/>
      <c r="G2" s="15"/>
      <c r="H2" s="15"/>
      <c r="I2" s="15"/>
      <c r="J2" s="16"/>
      <c r="K2" s="127" t="s">
        <v>87</v>
      </c>
      <c r="L2" s="128">
        <v>2013</v>
      </c>
      <c r="M2" s="128"/>
      <c r="N2" s="19"/>
    </row>
    <row r="3" spans="1:15" ht="21" customHeight="1" x14ac:dyDescent="0.2">
      <c r="A3" s="2"/>
      <c r="B3" s="125"/>
      <c r="C3" s="52" t="s">
        <v>84</v>
      </c>
      <c r="D3" s="52" t="s">
        <v>1</v>
      </c>
      <c r="E3" s="52" t="s">
        <v>85</v>
      </c>
      <c r="F3" s="52" t="s">
        <v>1</v>
      </c>
      <c r="G3" s="52" t="s">
        <v>86</v>
      </c>
      <c r="H3" s="52" t="s">
        <v>0</v>
      </c>
      <c r="I3" s="52" t="s">
        <v>0</v>
      </c>
      <c r="J3" s="3"/>
      <c r="K3" s="129"/>
      <c r="L3" s="130"/>
      <c r="M3" s="130"/>
      <c r="N3" s="20"/>
    </row>
    <row r="4" spans="1:15" ht="18" customHeight="1" x14ac:dyDescent="0.2">
      <c r="A4" s="2"/>
      <c r="B4" s="125"/>
      <c r="C4" s="40">
        <f>IF(DAY(FebSun1)=1,FebSun1-6,FebSun1+1)</f>
        <v>42401</v>
      </c>
      <c r="D4" s="4">
        <f>IF(DAY(FebSun1)=1,FebSun1-5,FebSun1+2)</f>
        <v>42402</v>
      </c>
      <c r="E4" s="4">
        <f>IF(DAY(FebSun1)=1,FebSun1-4,FebSun1+3)</f>
        <v>42403</v>
      </c>
      <c r="F4" s="4">
        <f>IF(DAY(FebSun1)=1,FebSun1-3,FebSun1+4)</f>
        <v>42404</v>
      </c>
      <c r="G4" s="4">
        <f>IF(DAY(FebSun1)=1,FebSun1-2,FebSun1+5)</f>
        <v>42405</v>
      </c>
      <c r="H4" s="4">
        <f>IF(DAY(FebSun1)=1,FebSun1-1,FebSun1+6)</f>
        <v>42406</v>
      </c>
      <c r="I4" s="4">
        <f>IF(DAY(FebSun1)=1,FebSun1,FebSun1+7)</f>
        <v>42407</v>
      </c>
      <c r="J4" s="3"/>
      <c r="K4" s="112"/>
      <c r="L4" s="10">
        <v>1</v>
      </c>
      <c r="M4" s="91" t="s">
        <v>95</v>
      </c>
      <c r="N4" s="92"/>
    </row>
    <row r="5" spans="1:15" ht="18" customHeight="1" x14ac:dyDescent="0.2">
      <c r="A5" s="2"/>
      <c r="B5" s="125"/>
      <c r="C5" s="4">
        <f>IF(DAY(FebSun1)=1,FebSun1+1,FebSun1+8)</f>
        <v>42408</v>
      </c>
      <c r="D5" s="4">
        <f>IF(DAY(FebSun1)=1,FebSun1+2,FebSun1+9)</f>
        <v>42409</v>
      </c>
      <c r="E5" s="4">
        <f>IF(DAY(FebSun1)=1,FebSun1+3,FebSun1+10)</f>
        <v>42410</v>
      </c>
      <c r="F5" s="4">
        <f>IF(DAY(FebSun1)=1,FebSun1+4,FebSun1+11)</f>
        <v>42411</v>
      </c>
      <c r="G5" s="4">
        <f>IF(DAY(FebSun1)=1,FebSun1+5,FebSun1+12)</f>
        <v>42412</v>
      </c>
      <c r="H5" s="4">
        <f>IF(DAY(FebSun1)=1,FebSun1+6,FebSun1+13)</f>
        <v>42413</v>
      </c>
      <c r="I5" s="4">
        <f>IF(DAY(FebSun1)=1,FebSun1+7,FebSun1+14)</f>
        <v>42414</v>
      </c>
      <c r="J5" s="3"/>
      <c r="K5" s="86"/>
      <c r="L5" s="10">
        <v>5</v>
      </c>
      <c r="M5" s="82" t="s">
        <v>44</v>
      </c>
      <c r="N5" s="83"/>
    </row>
    <row r="6" spans="1:15" ht="18" customHeight="1" x14ac:dyDescent="0.2">
      <c r="A6" s="2"/>
      <c r="B6" s="125"/>
      <c r="C6" s="4">
        <f>IF(DAY(FebSun1)=1,FebSun1+8,FebSun1+15)</f>
        <v>42415</v>
      </c>
      <c r="D6" s="4">
        <f>IF(DAY(FebSun1)=1,FebSun1+9,FebSun1+16)</f>
        <v>42416</v>
      </c>
      <c r="E6" s="4">
        <f>IF(DAY(FebSun1)=1,FebSun1+10,FebSun1+17)</f>
        <v>42417</v>
      </c>
      <c r="F6" s="4">
        <f>IF(DAY(FebSun1)=1,FebSun1+11,FebSun1+18)</f>
        <v>42418</v>
      </c>
      <c r="G6" s="4">
        <f>IF(DAY(FebSun1)=1,FebSun1+12,FebSun1+19)</f>
        <v>42419</v>
      </c>
      <c r="H6" s="4">
        <f>IF(DAY(FebSun1)=1,FebSun1+13,FebSun1+20)</f>
        <v>42420</v>
      </c>
      <c r="I6" s="4">
        <f>IF(DAY(FebSun1)=1,FebSun1+14,FebSun1+21)</f>
        <v>42421</v>
      </c>
      <c r="J6" s="3"/>
      <c r="K6" s="86"/>
      <c r="L6" s="11">
        <v>5</v>
      </c>
      <c r="M6" s="36" t="s">
        <v>60</v>
      </c>
      <c r="N6" s="37"/>
    </row>
    <row r="7" spans="1:15" ht="18" customHeight="1" x14ac:dyDescent="0.2">
      <c r="A7" s="2"/>
      <c r="B7" s="125"/>
      <c r="C7" s="4">
        <f>IF(DAY(FebSun1)=1,FebSun1+15,FebSun1+22)</f>
        <v>42422</v>
      </c>
      <c r="D7" s="4">
        <f>IF(DAY(FebSun1)=1,FebSun1+16,FebSun1+23)</f>
        <v>42423</v>
      </c>
      <c r="E7" s="4">
        <f>IF(DAY(FebSun1)=1,FebSun1+17,FebSun1+24)</f>
        <v>42424</v>
      </c>
      <c r="F7" s="4">
        <f>IF(DAY(FebSun1)=1,FebSun1+18,FebSun1+25)</f>
        <v>42425</v>
      </c>
      <c r="G7" s="4">
        <f>IF(DAY(FebSun1)=1,FebSun1+19,FebSun1+26)</f>
        <v>42426</v>
      </c>
      <c r="H7" s="4">
        <f>IF(DAY(FebSun1)=1,FebSun1+20,FebSun1+27)</f>
        <v>42427</v>
      </c>
      <c r="I7" s="4">
        <f>IF(DAY(FebSun1)=1,FebSun1+21,FebSun1+28)</f>
        <v>42428</v>
      </c>
      <c r="J7" s="3"/>
      <c r="K7" s="5"/>
      <c r="L7" s="11">
        <v>5</v>
      </c>
      <c r="M7" s="36" t="s">
        <v>92</v>
      </c>
      <c r="N7" s="37"/>
    </row>
    <row r="8" spans="1:15" ht="18.75" customHeight="1" x14ac:dyDescent="0.2">
      <c r="A8" s="2"/>
      <c r="B8" s="125"/>
      <c r="C8" s="4">
        <f>IF(DAY(FebSun1)=1,FebSun1+22,FebSun1+29)</f>
        <v>42429</v>
      </c>
      <c r="D8" s="4">
        <f>IF(DAY(FebSun1)=1,FebSun1+23,FebSun1+30)</f>
        <v>42430</v>
      </c>
      <c r="E8" s="4">
        <f>IF(DAY(FebSun1)=1,FebSun1+24,FebSun1+31)</f>
        <v>42431</v>
      </c>
      <c r="F8" s="4">
        <f>IF(DAY(FebSun1)=1,FebSun1+25,FebSun1+32)</f>
        <v>42432</v>
      </c>
      <c r="G8" s="4">
        <f>IF(DAY(FebSun1)=1,FebSun1+26,FebSun1+33)</f>
        <v>42433</v>
      </c>
      <c r="H8" s="4">
        <f>IF(DAY(FebSun1)=1,FebSun1+27,FebSun1+34)</f>
        <v>42434</v>
      </c>
      <c r="I8" s="4">
        <f>IF(DAY(FebSun1)=1,FebSun1+28,FebSun1+35)</f>
        <v>42435</v>
      </c>
      <c r="J8" s="3"/>
      <c r="K8" s="5"/>
      <c r="L8" s="12">
        <v>14</v>
      </c>
      <c r="M8" s="36" t="s">
        <v>51</v>
      </c>
      <c r="N8" s="37"/>
    </row>
    <row r="9" spans="1:15" ht="18" customHeight="1" x14ac:dyDescent="0.2">
      <c r="A9" s="2"/>
      <c r="B9" s="125"/>
      <c r="C9" s="4">
        <f>IF(DAY(FebSun1)=1,FebSun1+29,FebSun1+36)</f>
        <v>42436</v>
      </c>
      <c r="D9" s="4">
        <f>IF(DAY(FebSun1)=1,FebSun1+30,FebSun1+37)</f>
        <v>42437</v>
      </c>
      <c r="E9" s="4">
        <f>IF(DAY(FebSun1)=1,FebSun1+31,FebSun1+38)</f>
        <v>42438</v>
      </c>
      <c r="F9" s="4">
        <f>IF(DAY(FebSun1)=1,FebSun1+32,FebSun1+39)</f>
        <v>42439</v>
      </c>
      <c r="G9" s="4">
        <f>IF(DAY(FebSun1)=1,FebSun1+33,FebSun1+40)</f>
        <v>42440</v>
      </c>
      <c r="H9" s="4">
        <f>IF(DAY(FebSun1)=1,FebSun1+34,FebSun1+41)</f>
        <v>42441</v>
      </c>
      <c r="I9" s="4">
        <f>IF(DAY(FebSun1)=1,FebSun1+35,FebSun1+42)</f>
        <v>42442</v>
      </c>
      <c r="J9" s="3"/>
      <c r="K9" s="6"/>
      <c r="L9" s="11">
        <v>16</v>
      </c>
      <c r="M9" s="35" t="s">
        <v>33</v>
      </c>
      <c r="N9" s="36"/>
      <c r="O9" s="37"/>
    </row>
    <row r="10" spans="1:15" ht="18" customHeight="1" x14ac:dyDescent="0.2">
      <c r="A10" s="2"/>
      <c r="B10" s="126"/>
      <c r="C10" s="17"/>
      <c r="D10" s="17"/>
      <c r="E10" s="17"/>
      <c r="F10" s="17"/>
      <c r="G10" s="17"/>
      <c r="H10" s="17"/>
      <c r="I10" s="17"/>
      <c r="J10" s="18"/>
      <c r="K10" s="85"/>
      <c r="L10" s="11">
        <v>17</v>
      </c>
      <c r="M10" s="36" t="s">
        <v>80</v>
      </c>
      <c r="N10" s="37"/>
    </row>
    <row r="11" spans="1:15" ht="18" customHeight="1" x14ac:dyDescent="0.2">
      <c r="A11" s="2"/>
      <c r="B11" s="71"/>
      <c r="C11" s="123"/>
      <c r="D11" s="123"/>
      <c r="E11" s="123"/>
      <c r="F11" s="123"/>
      <c r="G11" s="123"/>
      <c r="H11" s="123"/>
      <c r="I11" s="123"/>
      <c r="J11" s="73"/>
      <c r="K11" s="86"/>
      <c r="L11" s="10">
        <v>18</v>
      </c>
      <c r="M11" s="36" t="s">
        <v>23</v>
      </c>
      <c r="N11" s="37"/>
    </row>
    <row r="12" spans="1:15" ht="18" customHeight="1" x14ac:dyDescent="0.2">
      <c r="A12" s="2"/>
      <c r="B12" s="71"/>
      <c r="C12" s="123"/>
      <c r="D12" s="123"/>
      <c r="E12" s="123"/>
      <c r="F12" s="123"/>
      <c r="G12" s="123"/>
      <c r="H12" s="123"/>
      <c r="I12" s="123"/>
      <c r="J12" s="73"/>
      <c r="K12" s="86"/>
      <c r="M12" s="93" t="s">
        <v>97</v>
      </c>
      <c r="N12" s="94"/>
    </row>
    <row r="13" spans="1:15" ht="18" customHeight="1" x14ac:dyDescent="0.2">
      <c r="B13" s="21"/>
      <c r="C13" s="62"/>
      <c r="D13" s="64"/>
      <c r="E13" s="62"/>
      <c r="F13" s="64"/>
      <c r="G13" s="62"/>
      <c r="H13" s="64"/>
      <c r="I13" s="62"/>
      <c r="J13" s="63"/>
      <c r="K13" s="5"/>
      <c r="L13" s="11">
        <v>24</v>
      </c>
      <c r="M13" s="36" t="s">
        <v>21</v>
      </c>
      <c r="N13" s="37"/>
    </row>
    <row r="14" spans="1:15" ht="18" customHeight="1" x14ac:dyDescent="0.2">
      <c r="B14" s="22"/>
      <c r="C14" s="60"/>
      <c r="D14" s="61"/>
      <c r="E14" s="60"/>
      <c r="F14" s="61"/>
      <c r="G14" s="60"/>
      <c r="H14" s="61"/>
      <c r="I14" s="60"/>
      <c r="J14" s="77"/>
      <c r="K14" s="5"/>
      <c r="L14" s="11">
        <v>26</v>
      </c>
      <c r="M14" s="36" t="s">
        <v>29</v>
      </c>
      <c r="N14" s="37"/>
    </row>
    <row r="15" spans="1:15" ht="18" customHeight="1" x14ac:dyDescent="0.2">
      <c r="B15" s="23"/>
      <c r="C15" s="58"/>
      <c r="D15" s="59"/>
      <c r="E15" s="58"/>
      <c r="F15" s="59"/>
      <c r="G15" s="58"/>
      <c r="H15" s="59"/>
      <c r="I15" s="78"/>
      <c r="J15" s="79"/>
      <c r="K15" s="7"/>
      <c r="L15" s="11">
        <v>28</v>
      </c>
      <c r="M15" s="36" t="s">
        <v>71</v>
      </c>
    </row>
    <row r="16" spans="1:15" ht="18" customHeight="1" x14ac:dyDescent="0.2">
      <c r="B16" s="22"/>
      <c r="C16" s="60"/>
      <c r="D16" s="61"/>
      <c r="E16" s="60"/>
      <c r="F16" s="61"/>
      <c r="G16" s="60"/>
      <c r="H16" s="61"/>
      <c r="I16" s="119"/>
      <c r="J16" s="120"/>
      <c r="K16" s="117"/>
      <c r="L16" s="10"/>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sheetData>
  <mergeCells count="112">
    <mergeCell ref="C14:D14"/>
    <mergeCell ref="E14:F14"/>
    <mergeCell ref="G14:H14"/>
    <mergeCell ref="I14:J14"/>
    <mergeCell ref="C15:D15"/>
    <mergeCell ref="E15:F15"/>
    <mergeCell ref="G15:H15"/>
    <mergeCell ref="I15:J15"/>
    <mergeCell ref="M4:N4"/>
    <mergeCell ref="B11:J12"/>
    <mergeCell ref="C13:D13"/>
    <mergeCell ref="E13:F13"/>
    <mergeCell ref="G13:H13"/>
    <mergeCell ref="I13:J13"/>
    <mergeCell ref="B2:B10"/>
    <mergeCell ref="K2:M3"/>
    <mergeCell ref="K4:K6"/>
    <mergeCell ref="M5:N5"/>
    <mergeCell ref="K10:K12"/>
    <mergeCell ref="M12:N12"/>
    <mergeCell ref="M17:N17"/>
    <mergeCell ref="C18:D18"/>
    <mergeCell ref="E18:F18"/>
    <mergeCell ref="G18:H18"/>
    <mergeCell ref="I18:J18"/>
    <mergeCell ref="M18:N18"/>
    <mergeCell ref="C16:D16"/>
    <mergeCell ref="E16:F16"/>
    <mergeCell ref="G16:H16"/>
    <mergeCell ref="I16:J16"/>
    <mergeCell ref="K16:K18"/>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43" priority="3" stopIfTrue="1">
      <formula>DAY(C4)&gt;8</formula>
    </cfRule>
  </conditionalFormatting>
  <conditionalFormatting sqref="C8:I10">
    <cfRule type="expression" dxfId="42" priority="2" stopIfTrue="1">
      <formula>AND(DAY(C8)&gt;=1,DAY(C8)&lt;=15)</formula>
    </cfRule>
  </conditionalFormatting>
  <conditionalFormatting sqref="C4:I9">
    <cfRule type="expression" dxfId="41" priority="4">
      <formula>VLOOKUP(DAY(C4),AssignmentDays,1,FALSE)=DAY(C4)</formula>
    </cfRule>
  </conditionalFormatting>
  <conditionalFormatting sqref="B14:J33">
    <cfRule type="expression" dxfId="40" priority="1">
      <formula>B14&lt;&gt;""</formula>
    </cfRule>
  </conditionalFormatting>
  <printOptions horizontalCentered="1"/>
  <pageMargins left="0.5" right="0.5" top="0.5" bottom="0.5" header="0.3" footer="0.3"/>
  <pageSetup scale="63"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499984740745262"/>
    <pageSetUpPr fitToPage="1"/>
  </sheetPr>
  <dimension ref="A1:AO34"/>
  <sheetViews>
    <sheetView showGridLines="0" zoomScaleNormal="100" zoomScalePageLayoutView="84" workbookViewId="0">
      <selection activeCell="E28" sqref="E28:F28"/>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37.710937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31" t="s">
        <v>11</v>
      </c>
      <c r="C2" s="15"/>
      <c r="D2" s="15"/>
      <c r="E2" s="15"/>
      <c r="F2" s="15"/>
      <c r="G2" s="15"/>
      <c r="H2" s="15"/>
      <c r="I2" s="15"/>
      <c r="J2" s="16"/>
      <c r="K2" s="134" t="s">
        <v>87</v>
      </c>
      <c r="L2" s="135">
        <v>2013</v>
      </c>
      <c r="M2" s="135"/>
      <c r="N2" s="19"/>
    </row>
    <row r="3" spans="1:14" ht="21" customHeight="1" x14ac:dyDescent="0.2">
      <c r="A3" s="2"/>
      <c r="B3" s="132"/>
      <c r="C3" s="51" t="s">
        <v>84</v>
      </c>
      <c r="D3" s="51" t="s">
        <v>1</v>
      </c>
      <c r="E3" s="51" t="s">
        <v>85</v>
      </c>
      <c r="F3" s="51" t="s">
        <v>1</v>
      </c>
      <c r="G3" s="51" t="s">
        <v>86</v>
      </c>
      <c r="H3" s="51" t="s">
        <v>0</v>
      </c>
      <c r="I3" s="51" t="s">
        <v>0</v>
      </c>
      <c r="J3" s="3"/>
      <c r="K3" s="136"/>
      <c r="L3" s="137"/>
      <c r="M3" s="137"/>
      <c r="N3" s="20"/>
    </row>
    <row r="4" spans="1:14" ht="18" customHeight="1" x14ac:dyDescent="0.2">
      <c r="A4" s="2"/>
      <c r="B4" s="132"/>
      <c r="C4" s="4">
        <f>IF(DAY(MarSun1)=1,MarSun1-6,MarSun1+1)</f>
        <v>42429</v>
      </c>
      <c r="D4" s="4">
        <f>IF(DAY(MarSun1)=1,MarSun1-5,MarSun1+2)</f>
        <v>42430</v>
      </c>
      <c r="E4" s="4">
        <f>IF(DAY(MarSun1)=1,MarSun1-4,MarSun1+3)</f>
        <v>42431</v>
      </c>
      <c r="F4" s="4">
        <f>IF(DAY(MarSun1)=1,MarSun1-3,MarSun1+4)</f>
        <v>42432</v>
      </c>
      <c r="G4" s="4">
        <f>IF(DAY(MarSun1)=1,MarSun1-2,MarSun1+5)</f>
        <v>42433</v>
      </c>
      <c r="H4" s="4">
        <f>IF(DAY(MarSun1)=1,MarSun1-1,MarSun1+6)</f>
        <v>42434</v>
      </c>
      <c r="I4" s="4">
        <f>IF(DAY(MarSun1)=1,MarSun1,MarSun1+7)</f>
        <v>42435</v>
      </c>
      <c r="J4" s="3"/>
      <c r="K4" s="112"/>
      <c r="L4" s="11">
        <v>3</v>
      </c>
      <c r="M4" s="82" t="s">
        <v>59</v>
      </c>
      <c r="N4" s="83"/>
    </row>
    <row r="5" spans="1:14" ht="18" customHeight="1" x14ac:dyDescent="0.2">
      <c r="A5" s="2"/>
      <c r="B5" s="132"/>
      <c r="C5" s="4">
        <f>IF(DAY(MarSun1)=1,MarSun1+1,MarSun1+8)</f>
        <v>42436</v>
      </c>
      <c r="D5" s="4">
        <f>IF(DAY(MarSun1)=1,MarSun1+2,MarSun1+9)</f>
        <v>42437</v>
      </c>
      <c r="E5" s="4">
        <f>IF(DAY(MarSun1)=1,MarSun1+3,MarSun1+10)</f>
        <v>42438</v>
      </c>
      <c r="F5" s="4">
        <f>IF(DAY(MarSun1)=1,MarSun1+4,MarSun1+11)</f>
        <v>42439</v>
      </c>
      <c r="G5" s="4">
        <f>IF(DAY(MarSun1)=1,MarSun1+5,MarSun1+12)</f>
        <v>42440</v>
      </c>
      <c r="H5" s="4">
        <f>IF(DAY(MarSun1)=1,MarSun1+6,MarSun1+13)</f>
        <v>42441</v>
      </c>
      <c r="I5" s="4">
        <f>IF(DAY(MarSun1)=1,MarSun1+7,MarSun1+14)</f>
        <v>42442</v>
      </c>
      <c r="J5" s="3"/>
      <c r="K5" s="86"/>
      <c r="L5" s="11">
        <v>5</v>
      </c>
      <c r="M5" s="82" t="s">
        <v>74</v>
      </c>
      <c r="N5" s="83"/>
    </row>
    <row r="6" spans="1:14" ht="18" customHeight="1" x14ac:dyDescent="0.2">
      <c r="A6" s="2"/>
      <c r="B6" s="132"/>
      <c r="C6" s="4">
        <f>IF(DAY(MarSun1)=1,MarSun1+8,MarSun1+15)</f>
        <v>42443</v>
      </c>
      <c r="D6" s="4">
        <f>IF(DAY(MarSun1)=1,MarSun1+9,MarSun1+16)</f>
        <v>42444</v>
      </c>
      <c r="E6" s="4">
        <f>IF(DAY(MarSun1)=1,MarSun1+10,MarSun1+17)</f>
        <v>42445</v>
      </c>
      <c r="F6" s="4">
        <f>IF(DAY(MarSun1)=1,MarSun1+11,MarSun1+18)</f>
        <v>42446</v>
      </c>
      <c r="G6" s="4">
        <f>IF(DAY(MarSun1)=1,MarSun1+12,MarSun1+19)</f>
        <v>42447</v>
      </c>
      <c r="H6" s="4">
        <f>IF(DAY(MarSun1)=1,MarSun1+13,MarSun1+20)</f>
        <v>42448</v>
      </c>
      <c r="I6" s="4">
        <f>IF(DAY(MarSun1)=1,MarSun1+14,MarSun1+21)</f>
        <v>42449</v>
      </c>
      <c r="J6" s="3"/>
      <c r="K6" s="86"/>
      <c r="L6" s="10">
        <v>6</v>
      </c>
      <c r="M6" s="93" t="s">
        <v>72</v>
      </c>
      <c r="N6" s="94"/>
    </row>
    <row r="7" spans="1:14" ht="18" customHeight="1" x14ac:dyDescent="0.2">
      <c r="A7" s="2"/>
      <c r="B7" s="132"/>
      <c r="C7" s="4">
        <f>IF(DAY(MarSun1)=1,MarSun1+15,MarSun1+22)</f>
        <v>42450</v>
      </c>
      <c r="D7" s="4">
        <f>IF(DAY(MarSun1)=1,MarSun1+16,MarSun1+23)</f>
        <v>42451</v>
      </c>
      <c r="E7" s="4">
        <f>IF(DAY(MarSun1)=1,MarSun1+17,MarSun1+24)</f>
        <v>42452</v>
      </c>
      <c r="F7" s="4">
        <f>IF(DAY(MarSun1)=1,MarSun1+18,MarSun1+25)</f>
        <v>42453</v>
      </c>
      <c r="G7" s="4">
        <f>IF(DAY(MarSun1)=1,MarSun1+19,MarSun1+26)</f>
        <v>42454</v>
      </c>
      <c r="H7" s="4">
        <f>IF(DAY(MarSun1)=1,MarSun1+20,MarSun1+27)</f>
        <v>42455</v>
      </c>
      <c r="I7" s="4">
        <f>IF(DAY(MarSun1)=1,MarSun1+21,MarSun1+28)</f>
        <v>42456</v>
      </c>
      <c r="J7" s="3"/>
      <c r="K7" s="5"/>
      <c r="L7" s="11">
        <v>7</v>
      </c>
      <c r="M7" s="82" t="s">
        <v>42</v>
      </c>
      <c r="N7" s="83"/>
    </row>
    <row r="8" spans="1:14" ht="18.75" customHeight="1" x14ac:dyDescent="0.2">
      <c r="A8" s="2"/>
      <c r="B8" s="132"/>
      <c r="C8" s="4">
        <f>IF(DAY(MarSun1)=1,MarSun1+22,MarSun1+29)</f>
        <v>42457</v>
      </c>
      <c r="D8" s="4">
        <f>IF(DAY(MarSun1)=1,MarSun1+23,MarSun1+30)</f>
        <v>42458</v>
      </c>
      <c r="E8" s="4">
        <f>IF(DAY(MarSun1)=1,MarSun1+24,MarSun1+31)</f>
        <v>42459</v>
      </c>
      <c r="F8" s="4">
        <f>IF(DAY(MarSun1)=1,MarSun1+25,MarSun1+32)</f>
        <v>42460</v>
      </c>
      <c r="G8" s="4">
        <f>IF(DAY(MarSun1)=1,MarSun1+26,MarSun1+33)</f>
        <v>42461</v>
      </c>
      <c r="H8" s="4">
        <f>IF(DAY(MarSun1)=1,MarSun1+27,MarSun1+34)</f>
        <v>42462</v>
      </c>
      <c r="I8" s="4">
        <f>IF(DAY(MarSun1)=1,MarSun1+28,MarSun1+35)</f>
        <v>42463</v>
      </c>
      <c r="J8" s="3"/>
      <c r="K8" s="5"/>
      <c r="L8" s="12">
        <v>14</v>
      </c>
      <c r="M8" s="91" t="s">
        <v>69</v>
      </c>
      <c r="N8" s="92"/>
    </row>
    <row r="9" spans="1:14" ht="18" customHeight="1" x14ac:dyDescent="0.2">
      <c r="A9" s="2"/>
      <c r="B9" s="132"/>
      <c r="C9" s="4">
        <f>IF(DAY(MarSun1)=1,MarSun1+29,MarSun1+36)</f>
        <v>42464</v>
      </c>
      <c r="D9" s="4">
        <f>IF(DAY(MarSun1)=1,MarSun1+30,MarSun1+37)</f>
        <v>42465</v>
      </c>
      <c r="E9" s="4">
        <f>IF(DAY(MarSun1)=1,MarSun1+31,MarSun1+38)</f>
        <v>42466</v>
      </c>
      <c r="F9" s="4">
        <f>IF(DAY(MarSun1)=1,MarSun1+32,MarSun1+39)</f>
        <v>42467</v>
      </c>
      <c r="G9" s="4">
        <f>IF(DAY(MarSun1)=1,MarSun1+33,MarSun1+40)</f>
        <v>42468</v>
      </c>
      <c r="H9" s="4">
        <f>IF(DAY(MarSun1)=1,MarSun1+34,MarSun1+41)</f>
        <v>42469</v>
      </c>
      <c r="I9" s="4">
        <f>IF(DAY(MarSun1)=1,MarSun1+35,MarSun1+42)</f>
        <v>42470</v>
      </c>
      <c r="J9" s="3"/>
      <c r="K9" s="6"/>
      <c r="L9" s="11">
        <v>20</v>
      </c>
      <c r="M9" s="82" t="s">
        <v>57</v>
      </c>
      <c r="N9" s="83"/>
    </row>
    <row r="10" spans="1:14" ht="18" customHeight="1" x14ac:dyDescent="0.2">
      <c r="A10" s="2"/>
      <c r="B10" s="133"/>
      <c r="C10" s="17"/>
      <c r="D10" s="17"/>
      <c r="E10" s="17"/>
      <c r="F10" s="17"/>
      <c r="G10" s="17"/>
      <c r="H10" s="17"/>
      <c r="I10" s="17"/>
      <c r="J10" s="18"/>
      <c r="K10" s="85"/>
      <c r="L10" s="11">
        <v>21</v>
      </c>
      <c r="M10" s="82" t="s">
        <v>77</v>
      </c>
      <c r="N10" s="83"/>
    </row>
    <row r="11" spans="1:14" ht="18" customHeight="1" x14ac:dyDescent="0.2">
      <c r="A11" s="2"/>
      <c r="B11" s="71"/>
      <c r="C11" s="123"/>
      <c r="D11" s="123"/>
      <c r="E11" s="123"/>
      <c r="F11" s="123"/>
      <c r="G11" s="123"/>
      <c r="H11" s="123"/>
      <c r="I11" s="123"/>
      <c r="J11" s="73"/>
      <c r="K11" s="86"/>
      <c r="L11" s="10">
        <v>23</v>
      </c>
      <c r="M11" s="1" t="s">
        <v>94</v>
      </c>
    </row>
    <row r="12" spans="1:14" ht="18" customHeight="1" x14ac:dyDescent="0.2">
      <c r="A12" s="2"/>
      <c r="B12" s="71"/>
      <c r="C12" s="123"/>
      <c r="D12" s="123"/>
      <c r="E12" s="123"/>
      <c r="F12" s="123"/>
      <c r="G12" s="123"/>
      <c r="H12" s="123"/>
      <c r="I12" s="123"/>
      <c r="J12" s="73"/>
      <c r="K12" s="86"/>
      <c r="L12" s="11">
        <v>26</v>
      </c>
      <c r="M12" s="113" t="s">
        <v>27</v>
      </c>
      <c r="N12" s="114"/>
    </row>
    <row r="13" spans="1:14" ht="18" customHeight="1" x14ac:dyDescent="0.2">
      <c r="B13" s="21"/>
      <c r="C13" s="62"/>
      <c r="D13" s="64"/>
      <c r="E13" s="62"/>
      <c r="F13" s="64"/>
      <c r="G13" s="62"/>
      <c r="H13" s="64"/>
      <c r="I13" s="62"/>
      <c r="J13" s="63"/>
      <c r="K13" s="5"/>
      <c r="L13" s="11">
        <v>28</v>
      </c>
      <c r="M13" s="82" t="s">
        <v>40</v>
      </c>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sheetData>
  <mergeCells count="121">
    <mergeCell ref="M10:N10"/>
    <mergeCell ref="B11:J12"/>
    <mergeCell ref="M12:N12"/>
    <mergeCell ref="M13:N13"/>
    <mergeCell ref="C13:D13"/>
    <mergeCell ref="E13:F13"/>
    <mergeCell ref="G13:H13"/>
    <mergeCell ref="I13:J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39" priority="3" stopIfTrue="1">
      <formula>DAY(C4)&gt;8</formula>
    </cfRule>
  </conditionalFormatting>
  <conditionalFormatting sqref="C8:I10">
    <cfRule type="expression" dxfId="38" priority="2" stopIfTrue="1">
      <formula>AND(DAY(C8)&gt;=1,DAY(C8)&lt;=15)</formula>
    </cfRule>
  </conditionalFormatting>
  <conditionalFormatting sqref="C4:I9">
    <cfRule type="expression" dxfId="37" priority="4">
      <formula>VLOOKUP(DAY(C4),AssignmentDays,1,FALSE)=DAY(C4)</formula>
    </cfRule>
  </conditionalFormatting>
  <conditionalFormatting sqref="B14:J33">
    <cfRule type="expression" dxfId="36" priority="1">
      <formula>B14&lt;&gt;""</formula>
    </cfRule>
  </conditionalFormatting>
  <printOptions horizontalCentered="1"/>
  <pageMargins left="0.5" right="0.5" top="0.5" bottom="0.5" header="0.3" footer="0.3"/>
  <pageSetup scale="63"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517D21"/>
    <pageSetUpPr fitToPage="1"/>
  </sheetPr>
  <dimension ref="A1:AO33"/>
  <sheetViews>
    <sheetView showGridLines="0" zoomScaleNormal="100" zoomScalePageLayoutView="84" workbookViewId="0">
      <selection activeCell="R35" sqref="R35"/>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5.85546875" style="1" customWidth="1"/>
    <col min="12" max="12" width="3.85546875" customWidth="1"/>
    <col min="13" max="13" width="38"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45" t="s">
        <v>10</v>
      </c>
      <c r="C2" s="15"/>
      <c r="D2" s="15"/>
      <c r="E2" s="15"/>
      <c r="F2" s="15"/>
      <c r="G2" s="15"/>
      <c r="H2" s="15"/>
      <c r="I2" s="15"/>
      <c r="J2" s="16"/>
      <c r="K2" s="148" t="s">
        <v>88</v>
      </c>
      <c r="L2" s="149"/>
      <c r="M2" s="149"/>
      <c r="N2" s="150"/>
    </row>
    <row r="3" spans="1:14" ht="21" customHeight="1" x14ac:dyDescent="0.2">
      <c r="A3" s="2"/>
      <c r="B3" s="146"/>
      <c r="C3" s="50" t="s">
        <v>84</v>
      </c>
      <c r="D3" s="50" t="s">
        <v>1</v>
      </c>
      <c r="E3" s="50" t="s">
        <v>85</v>
      </c>
      <c r="F3" s="50" t="s">
        <v>1</v>
      </c>
      <c r="G3" s="50" t="s">
        <v>86</v>
      </c>
      <c r="H3" s="50" t="s">
        <v>0</v>
      </c>
      <c r="I3" s="50" t="s">
        <v>0</v>
      </c>
      <c r="J3" s="3"/>
      <c r="K3" s="151"/>
      <c r="L3" s="152"/>
      <c r="M3" s="152"/>
      <c r="N3" s="153"/>
    </row>
    <row r="4" spans="1:14" ht="18" customHeight="1" x14ac:dyDescent="0.2">
      <c r="A4" s="2"/>
      <c r="B4" s="146"/>
      <c r="C4" s="4">
        <f>IF(DAY(AprSun1)=1,AprSun1-6,AprSun1+1)</f>
        <v>42457</v>
      </c>
      <c r="D4" s="4">
        <f>IF(DAY(AprSun1)=1,AprSun1-5,AprSun1+2)</f>
        <v>42458</v>
      </c>
      <c r="E4" s="4">
        <f>IF(DAY(AprSun1)=1,AprSun1-4,AprSun1+3)</f>
        <v>42459</v>
      </c>
      <c r="F4" s="4">
        <f>IF(DAY(AprSun1)=1,AprSun1-3,AprSun1+4)</f>
        <v>42460</v>
      </c>
      <c r="G4" s="4">
        <f>IF(DAY(AprSun1)=1,AprSun1-2,AprSun1+5)</f>
        <v>42461</v>
      </c>
      <c r="H4" s="4">
        <f>IF(DAY(AprSun1)=1,AprSun1-1,AprSun1+6)</f>
        <v>42462</v>
      </c>
      <c r="I4" s="4">
        <f>IF(DAY(AprSun1)=1,AprSun1,AprSun1+7)</f>
        <v>42463</v>
      </c>
      <c r="J4" s="3"/>
      <c r="K4" s="112"/>
      <c r="L4" s="11">
        <v>2</v>
      </c>
      <c r="M4" s="82" t="s">
        <v>35</v>
      </c>
      <c r="N4" s="83"/>
    </row>
    <row r="5" spans="1:14" ht="18" customHeight="1" x14ac:dyDescent="0.2">
      <c r="A5" s="2"/>
      <c r="B5" s="146"/>
      <c r="C5" s="4">
        <f>IF(DAY(AprSun1)=1,AprSun1+1,AprSun1+8)</f>
        <v>42464</v>
      </c>
      <c r="D5" s="4">
        <f>IF(DAY(AprSun1)=1,AprSun1+2,AprSun1+9)</f>
        <v>42465</v>
      </c>
      <c r="E5" s="4">
        <f>IF(DAY(AprSun1)=1,AprSun1+3,AprSun1+10)</f>
        <v>42466</v>
      </c>
      <c r="F5" s="4">
        <f>IF(DAY(AprSun1)=1,AprSun1+4,AprSun1+11)</f>
        <v>42467</v>
      </c>
      <c r="G5" s="4">
        <f>IF(DAY(AprSun1)=1,AprSun1+5,AprSun1+12)</f>
        <v>42468</v>
      </c>
      <c r="H5" s="4">
        <f>IF(DAY(AprSun1)=1,AprSun1+6,AprSun1+13)</f>
        <v>42469</v>
      </c>
      <c r="I5" s="4">
        <f>IF(DAY(AprSun1)=1,AprSun1+7,AprSun1+14)</f>
        <v>42470</v>
      </c>
      <c r="J5" s="3"/>
      <c r="K5" s="86"/>
      <c r="L5" s="12">
        <v>4</v>
      </c>
      <c r="M5" s="91" t="s">
        <v>50</v>
      </c>
      <c r="N5" s="92"/>
    </row>
    <row r="6" spans="1:14" ht="18" customHeight="1" x14ac:dyDescent="0.2">
      <c r="A6" s="2"/>
      <c r="B6" s="146"/>
      <c r="C6" s="4">
        <f>IF(DAY(AprSun1)=1,AprSun1+8,AprSun1+15)</f>
        <v>42471</v>
      </c>
      <c r="D6" s="4">
        <f>IF(DAY(AprSun1)=1,AprSun1+9,AprSun1+16)</f>
        <v>42472</v>
      </c>
      <c r="E6" s="4">
        <f>IF(DAY(AprSun1)=1,AprSun1+10,AprSun1+17)</f>
        <v>42473</v>
      </c>
      <c r="F6" s="4">
        <f>IF(DAY(AprSun1)=1,AprSun1+11,AprSun1+18)</f>
        <v>42474</v>
      </c>
      <c r="G6" s="4">
        <f>IF(DAY(AprSun1)=1,AprSun1+12,AprSun1+19)</f>
        <v>42475</v>
      </c>
      <c r="H6" s="4">
        <f>IF(DAY(AprSun1)=1,AprSun1+13,AprSun1+20)</f>
        <v>42476</v>
      </c>
      <c r="I6" s="4">
        <f>IF(DAY(AprSun1)=1,AprSun1+14,AprSun1+21)</f>
        <v>42477</v>
      </c>
      <c r="J6" s="3"/>
      <c r="K6" s="86"/>
      <c r="L6" s="11">
        <v>10</v>
      </c>
      <c r="M6" s="82" t="s">
        <v>81</v>
      </c>
      <c r="N6" s="83"/>
    </row>
    <row r="7" spans="1:14" ht="18" customHeight="1" x14ac:dyDescent="0.2">
      <c r="A7" s="2"/>
      <c r="B7" s="146"/>
      <c r="C7" s="4">
        <f>IF(DAY(AprSun1)=1,AprSun1+15,AprSun1+22)</f>
        <v>42478</v>
      </c>
      <c r="D7" s="4">
        <f>IF(DAY(AprSun1)=1,AprSun1+16,AprSun1+23)</f>
        <v>42479</v>
      </c>
      <c r="E7" s="4">
        <f>IF(DAY(AprSun1)=1,AprSun1+17,AprSun1+24)</f>
        <v>42480</v>
      </c>
      <c r="F7" s="4">
        <f>IF(DAY(AprSun1)=1,AprSun1+18,AprSun1+25)</f>
        <v>42481</v>
      </c>
      <c r="G7" s="4">
        <f>IF(DAY(AprSun1)=1,AprSun1+19,AprSun1+26)</f>
        <v>42482</v>
      </c>
      <c r="H7" s="55">
        <f>IF(DAY(AprSun1)=1,AprSun1+20,AprSun1+27)</f>
        <v>42483</v>
      </c>
      <c r="I7" s="4">
        <f>IF(DAY(AprSun1)=1,AprSun1+21,AprSun1+28)</f>
        <v>42484</v>
      </c>
      <c r="J7" s="3"/>
      <c r="K7" s="5"/>
      <c r="L7" s="11">
        <v>10</v>
      </c>
      <c r="M7" s="82" t="s">
        <v>25</v>
      </c>
      <c r="N7" s="83"/>
    </row>
    <row r="8" spans="1:14" ht="18.75" customHeight="1" x14ac:dyDescent="0.2">
      <c r="A8" s="2"/>
      <c r="B8" s="146"/>
      <c r="C8" s="4">
        <f>IF(DAY(AprSun1)=1,AprSun1+22,AprSun1+29)</f>
        <v>42485</v>
      </c>
      <c r="D8" s="4">
        <f>IF(DAY(AprSun1)=1,AprSun1+23,AprSun1+30)</f>
        <v>42486</v>
      </c>
      <c r="E8" s="4">
        <f>IF(DAY(AprSun1)=1,AprSun1+24,AprSun1+31)</f>
        <v>42487</v>
      </c>
      <c r="F8" s="4">
        <f>IF(DAY(AprSun1)=1,AprSun1+25,AprSun1+32)</f>
        <v>42488</v>
      </c>
      <c r="G8" s="4">
        <f>IF(DAY(AprSun1)=1,AprSun1+26,AprSun1+33)</f>
        <v>42489</v>
      </c>
      <c r="H8" s="4">
        <f>IF(DAY(AprSun1)=1,AprSun1+27,AprSun1+34)</f>
        <v>42490</v>
      </c>
      <c r="I8" s="4">
        <f>IF(DAY(AprSun1)=1,AprSun1+28,AprSun1+35)</f>
        <v>42491</v>
      </c>
      <c r="J8" s="3"/>
      <c r="K8" s="5"/>
      <c r="L8" s="11">
        <v>11</v>
      </c>
      <c r="M8" s="82" t="s">
        <v>98</v>
      </c>
      <c r="N8" s="83"/>
    </row>
    <row r="9" spans="1:14" ht="18" customHeight="1" x14ac:dyDescent="0.2">
      <c r="A9" s="2"/>
      <c r="B9" s="146"/>
      <c r="C9" s="4">
        <f>IF(DAY(AprSun1)=1,AprSun1+29,AprSun1+36)</f>
        <v>42492</v>
      </c>
      <c r="D9" s="4">
        <f>IF(DAY(AprSun1)=1,AprSun1+30,AprSun1+37)</f>
        <v>42493</v>
      </c>
      <c r="E9" s="4">
        <f>IF(DAY(AprSun1)=1,AprSun1+31,AprSun1+38)</f>
        <v>42494</v>
      </c>
      <c r="F9" s="4">
        <f>IF(DAY(AprSun1)=1,AprSun1+32,AprSun1+39)</f>
        <v>42495</v>
      </c>
      <c r="G9" s="4">
        <f>IF(DAY(AprSun1)=1,AprSun1+33,AprSun1+40)</f>
        <v>42496</v>
      </c>
      <c r="H9" s="4">
        <f>IF(DAY(AprSun1)=1,AprSun1+34,AprSun1+41)</f>
        <v>42497</v>
      </c>
      <c r="I9" s="4">
        <f>IF(DAY(AprSun1)=1,AprSun1+35,AprSun1+42)</f>
        <v>42498</v>
      </c>
      <c r="J9" s="3"/>
      <c r="K9" s="6"/>
      <c r="L9" s="10">
        <v>14</v>
      </c>
      <c r="M9" s="113" t="s">
        <v>20</v>
      </c>
      <c r="N9" s="114"/>
    </row>
    <row r="10" spans="1:14" ht="18" customHeight="1" x14ac:dyDescent="0.2">
      <c r="A10" s="2"/>
      <c r="B10" s="147"/>
      <c r="C10" s="17"/>
      <c r="D10" s="17"/>
      <c r="E10" s="17"/>
      <c r="F10" s="17"/>
      <c r="G10" s="17"/>
      <c r="H10" s="17"/>
      <c r="I10" s="17"/>
      <c r="J10" s="18"/>
      <c r="K10" s="85"/>
      <c r="L10" s="10">
        <v>17</v>
      </c>
      <c r="M10" s="93" t="s">
        <v>54</v>
      </c>
      <c r="N10" s="94"/>
    </row>
    <row r="11" spans="1:14" ht="18" customHeight="1" x14ac:dyDescent="0.2">
      <c r="A11" s="2"/>
      <c r="B11" s="71"/>
      <c r="C11" s="123"/>
      <c r="D11" s="123"/>
      <c r="E11" s="123"/>
      <c r="F11" s="123"/>
      <c r="G11" s="123"/>
      <c r="H11" s="123"/>
      <c r="I11" s="123"/>
      <c r="J11" s="73"/>
      <c r="K11" s="86"/>
      <c r="L11" s="11">
        <v>18</v>
      </c>
      <c r="M11" s="82" t="s">
        <v>16</v>
      </c>
      <c r="N11" s="83"/>
    </row>
    <row r="12" spans="1:14" ht="18" customHeight="1" x14ac:dyDescent="0.2">
      <c r="A12" s="2"/>
      <c r="B12" s="71"/>
      <c r="C12" s="123"/>
      <c r="D12" s="123"/>
      <c r="E12" s="123"/>
      <c r="F12" s="123"/>
      <c r="G12" s="123"/>
      <c r="H12" s="123"/>
      <c r="I12" s="123"/>
      <c r="J12" s="73"/>
      <c r="K12" s="86"/>
      <c r="L12" s="11">
        <v>19</v>
      </c>
      <c r="M12" s="82" t="s">
        <v>67</v>
      </c>
      <c r="N12" s="83"/>
    </row>
    <row r="13" spans="1:14" ht="18" customHeight="1" x14ac:dyDescent="0.2">
      <c r="A13" s="26"/>
      <c r="B13" s="138"/>
      <c r="C13" s="139"/>
      <c r="D13" s="139"/>
      <c r="E13" s="139"/>
      <c r="F13" s="139"/>
      <c r="G13" s="139"/>
      <c r="H13" s="139"/>
      <c r="I13" s="139"/>
      <c r="J13" s="140"/>
      <c r="K13" s="5"/>
      <c r="L13" s="11">
        <v>23</v>
      </c>
      <c r="M13" s="82" t="s">
        <v>79</v>
      </c>
      <c r="N13" s="83"/>
    </row>
    <row r="14" spans="1:14" ht="18" customHeight="1" x14ac:dyDescent="0.2">
      <c r="A14" s="26"/>
      <c r="B14" s="141"/>
      <c r="C14" s="139"/>
      <c r="D14" s="139"/>
      <c r="E14" s="139"/>
      <c r="F14" s="139"/>
      <c r="G14" s="139"/>
      <c r="H14" s="139"/>
      <c r="I14" s="139"/>
      <c r="J14" s="140"/>
      <c r="K14" s="5"/>
      <c r="L14" s="11"/>
      <c r="M14" s="82"/>
      <c r="N14" s="83"/>
    </row>
    <row r="15" spans="1:14" ht="18" customHeight="1" x14ac:dyDescent="0.2">
      <c r="A15" s="26"/>
      <c r="B15" s="141"/>
      <c r="C15" s="139"/>
      <c r="D15" s="139"/>
      <c r="E15" s="139"/>
      <c r="F15" s="139"/>
      <c r="G15" s="139"/>
      <c r="H15" s="139"/>
      <c r="I15" s="139"/>
      <c r="J15" s="140"/>
      <c r="K15" s="7"/>
      <c r="L15" s="13"/>
      <c r="M15" s="91"/>
      <c r="N15" s="92"/>
    </row>
    <row r="16" spans="1:14" ht="18" customHeight="1" x14ac:dyDescent="0.2">
      <c r="A16" s="26"/>
      <c r="B16" s="141"/>
      <c r="C16" s="139"/>
      <c r="D16" s="139"/>
      <c r="E16" s="139"/>
      <c r="F16" s="139"/>
      <c r="G16" s="139"/>
      <c r="H16" s="139"/>
      <c r="I16" s="139"/>
      <c r="J16" s="140"/>
      <c r="K16" s="117"/>
      <c r="L16" s="10"/>
      <c r="M16" s="93"/>
      <c r="N16" s="94"/>
    </row>
    <row r="17" spans="1:14" ht="18" customHeight="1" x14ac:dyDescent="0.2">
      <c r="A17" s="26"/>
      <c r="B17" s="141"/>
      <c r="C17" s="139"/>
      <c r="D17" s="139"/>
      <c r="E17" s="139"/>
      <c r="F17" s="139"/>
      <c r="G17" s="139"/>
      <c r="H17" s="139"/>
      <c r="I17" s="139"/>
      <c r="J17" s="140"/>
      <c r="K17" s="118"/>
      <c r="L17" s="11"/>
      <c r="M17" s="82"/>
      <c r="N17" s="83"/>
    </row>
    <row r="18" spans="1:14" ht="18" customHeight="1" x14ac:dyDescent="0.2">
      <c r="A18" s="26"/>
      <c r="B18" s="141"/>
      <c r="C18" s="139"/>
      <c r="D18" s="139"/>
      <c r="E18" s="139"/>
      <c r="F18" s="139"/>
      <c r="G18" s="139"/>
      <c r="H18" s="139"/>
      <c r="I18" s="139"/>
      <c r="J18" s="140"/>
      <c r="K18" s="118"/>
      <c r="L18" s="11"/>
      <c r="M18" s="82"/>
      <c r="N18" s="83"/>
    </row>
    <row r="19" spans="1:14" ht="18" customHeight="1" x14ac:dyDescent="0.2">
      <c r="A19" s="26"/>
      <c r="B19" s="141"/>
      <c r="C19" s="139"/>
      <c r="D19" s="139"/>
      <c r="E19" s="139"/>
      <c r="F19" s="139"/>
      <c r="G19" s="139"/>
      <c r="H19" s="139"/>
      <c r="I19" s="139"/>
      <c r="J19" s="140"/>
      <c r="K19" s="5"/>
      <c r="L19" s="11"/>
      <c r="M19" s="82"/>
      <c r="N19" s="83"/>
    </row>
    <row r="20" spans="1:14" ht="18" customHeight="1" x14ac:dyDescent="0.2">
      <c r="A20" s="26"/>
      <c r="B20" s="141"/>
      <c r="C20" s="139"/>
      <c r="D20" s="139"/>
      <c r="E20" s="139"/>
      <c r="F20" s="139"/>
      <c r="G20" s="139"/>
      <c r="H20" s="139"/>
      <c r="I20" s="139"/>
      <c r="J20" s="140"/>
      <c r="K20" s="5"/>
      <c r="L20" s="11"/>
      <c r="M20" s="82"/>
      <c r="N20" s="83"/>
    </row>
    <row r="21" spans="1:14" ht="18" customHeight="1" x14ac:dyDescent="0.2">
      <c r="A21" s="26"/>
      <c r="B21" s="141"/>
      <c r="C21" s="139"/>
      <c r="D21" s="139"/>
      <c r="E21" s="139"/>
      <c r="F21" s="139"/>
      <c r="G21" s="139"/>
      <c r="H21" s="139"/>
      <c r="I21" s="139"/>
      <c r="J21" s="140"/>
      <c r="K21" s="7"/>
      <c r="L21" s="13"/>
      <c r="M21" s="91"/>
      <c r="N21" s="92"/>
    </row>
    <row r="22" spans="1:14" ht="18" customHeight="1" x14ac:dyDescent="0.2">
      <c r="A22" s="26"/>
      <c r="B22" s="141"/>
      <c r="C22" s="139"/>
      <c r="D22" s="139"/>
      <c r="E22" s="139"/>
      <c r="F22" s="139"/>
      <c r="G22" s="139"/>
      <c r="H22" s="139"/>
      <c r="I22" s="139"/>
      <c r="J22" s="140"/>
      <c r="K22" s="117"/>
      <c r="L22" s="10"/>
      <c r="M22" s="93"/>
      <c r="N22" s="94"/>
    </row>
    <row r="23" spans="1:14" ht="18" customHeight="1" x14ac:dyDescent="0.2">
      <c r="A23" s="26"/>
      <c r="B23" s="141"/>
      <c r="C23" s="139"/>
      <c r="D23" s="139"/>
      <c r="E23" s="139"/>
      <c r="F23" s="139"/>
      <c r="G23" s="139"/>
      <c r="H23" s="139"/>
      <c r="I23" s="139"/>
      <c r="J23" s="140"/>
      <c r="K23" s="118"/>
      <c r="L23" s="11"/>
      <c r="M23" s="82"/>
      <c r="N23" s="83"/>
    </row>
    <row r="24" spans="1:14" ht="18" customHeight="1" x14ac:dyDescent="0.2">
      <c r="A24" s="26"/>
      <c r="B24" s="141"/>
      <c r="C24" s="139"/>
      <c r="D24" s="139"/>
      <c r="E24" s="139"/>
      <c r="F24" s="139"/>
      <c r="G24" s="139"/>
      <c r="H24" s="139"/>
      <c r="I24" s="139"/>
      <c r="J24" s="140"/>
      <c r="K24" s="118"/>
      <c r="L24" s="11"/>
      <c r="M24" s="82"/>
      <c r="N24" s="83"/>
    </row>
    <row r="25" spans="1:14" ht="18" customHeight="1" x14ac:dyDescent="0.2">
      <c r="A25" s="26"/>
      <c r="B25" s="141"/>
      <c r="C25" s="139"/>
      <c r="D25" s="139"/>
      <c r="E25" s="139"/>
      <c r="F25" s="139"/>
      <c r="G25" s="139"/>
      <c r="H25" s="139"/>
      <c r="I25" s="139"/>
      <c r="J25" s="140"/>
      <c r="K25" s="118"/>
      <c r="L25" s="11"/>
      <c r="M25" s="82"/>
      <c r="N25" s="83"/>
    </row>
    <row r="26" spans="1:14" ht="18" customHeight="1" x14ac:dyDescent="0.2">
      <c r="A26" s="26"/>
      <c r="B26" s="141"/>
      <c r="C26" s="139"/>
      <c r="D26" s="139"/>
      <c r="E26" s="139"/>
      <c r="F26" s="139"/>
      <c r="G26" s="139"/>
      <c r="H26" s="139"/>
      <c r="I26" s="139"/>
      <c r="J26" s="140"/>
      <c r="K26" s="5"/>
      <c r="L26" s="11"/>
      <c r="M26" s="82"/>
      <c r="N26" s="83"/>
    </row>
    <row r="27" spans="1:14" ht="18" customHeight="1" x14ac:dyDescent="0.2">
      <c r="A27" s="26"/>
      <c r="B27" s="141"/>
      <c r="C27" s="139"/>
      <c r="D27" s="139"/>
      <c r="E27" s="139"/>
      <c r="F27" s="139"/>
      <c r="G27" s="139"/>
      <c r="H27" s="139"/>
      <c r="I27" s="139"/>
      <c r="J27" s="140"/>
      <c r="K27" s="7"/>
      <c r="L27" s="13"/>
      <c r="M27" s="91"/>
      <c r="N27" s="92"/>
    </row>
    <row r="28" spans="1:14" ht="18" customHeight="1" x14ac:dyDescent="0.2">
      <c r="A28" s="26"/>
      <c r="B28" s="141"/>
      <c r="C28" s="139"/>
      <c r="D28" s="139"/>
      <c r="E28" s="139"/>
      <c r="F28" s="139"/>
      <c r="G28" s="139"/>
      <c r="H28" s="139"/>
      <c r="I28" s="139"/>
      <c r="J28" s="140"/>
      <c r="K28" s="85"/>
      <c r="L28" s="10"/>
      <c r="M28" s="93"/>
      <c r="N28" s="94"/>
    </row>
    <row r="29" spans="1:14" ht="18" customHeight="1" x14ac:dyDescent="0.2">
      <c r="A29" s="26"/>
      <c r="B29" s="141"/>
      <c r="C29" s="139"/>
      <c r="D29" s="139"/>
      <c r="E29" s="139"/>
      <c r="F29" s="139"/>
      <c r="G29" s="139"/>
      <c r="H29" s="139"/>
      <c r="I29" s="139"/>
      <c r="J29" s="140"/>
      <c r="K29" s="86"/>
      <c r="L29" s="11"/>
      <c r="M29" s="82"/>
      <c r="N29" s="83"/>
    </row>
    <row r="30" spans="1:14" ht="18" customHeight="1" x14ac:dyDescent="0.2">
      <c r="A30" s="26"/>
      <c r="B30" s="141"/>
      <c r="C30" s="139"/>
      <c r="D30" s="139"/>
      <c r="E30" s="139"/>
      <c r="F30" s="139"/>
      <c r="G30" s="139"/>
      <c r="H30" s="139"/>
      <c r="I30" s="139"/>
      <c r="J30" s="140"/>
      <c r="K30" s="86"/>
      <c r="L30" s="11"/>
      <c r="M30" s="82"/>
      <c r="N30" s="83"/>
    </row>
    <row r="31" spans="1:14" ht="18" customHeight="1" x14ac:dyDescent="0.2">
      <c r="A31" s="26"/>
      <c r="B31" s="142"/>
      <c r="C31" s="143"/>
      <c r="D31" s="143"/>
      <c r="E31" s="143"/>
      <c r="F31" s="143"/>
      <c r="G31" s="143"/>
      <c r="H31" s="143"/>
      <c r="I31" s="143"/>
      <c r="J31" s="144"/>
      <c r="K31" s="8"/>
      <c r="L31" s="11"/>
      <c r="M31" s="82"/>
      <c r="N31" s="83"/>
    </row>
    <row r="32" spans="1:14" ht="18" customHeight="1" x14ac:dyDescent="0.2">
      <c r="A32" s="26"/>
      <c r="B32" s="22"/>
      <c r="C32" s="60"/>
      <c r="D32" s="61"/>
      <c r="E32" s="60"/>
      <c r="F32" s="61"/>
      <c r="G32" s="60"/>
      <c r="H32" s="61"/>
      <c r="I32" s="119"/>
      <c r="J32" s="120"/>
      <c r="K32" s="8"/>
      <c r="L32" s="11"/>
      <c r="M32" s="82"/>
      <c r="N32" s="83"/>
    </row>
    <row r="33" spans="1:14" ht="18" customHeight="1" x14ac:dyDescent="0.2">
      <c r="A33" s="26"/>
      <c r="B33" s="25"/>
      <c r="C33" s="95"/>
      <c r="D33" s="96"/>
      <c r="E33" s="95"/>
      <c r="F33" s="96"/>
      <c r="G33" s="95"/>
      <c r="H33" s="96"/>
      <c r="I33" s="99"/>
      <c r="J33" s="100"/>
      <c r="K33" s="9"/>
      <c r="L33" s="14"/>
      <c r="M33" s="89"/>
      <c r="N33" s="90"/>
    </row>
  </sheetData>
  <mergeCells count="47">
    <mergeCell ref="M10:N10"/>
    <mergeCell ref="B11:J12"/>
    <mergeCell ref="M11:N11"/>
    <mergeCell ref="M12:N12"/>
    <mergeCell ref="M13:N13"/>
    <mergeCell ref="B2:B10"/>
    <mergeCell ref="K4:K6"/>
    <mergeCell ref="M4:N4"/>
    <mergeCell ref="M5:N5"/>
    <mergeCell ref="M6:N6"/>
    <mergeCell ref="M7:N7"/>
    <mergeCell ref="M8:N8"/>
    <mergeCell ref="M9:N9"/>
    <mergeCell ref="K10:K12"/>
    <mergeCell ref="K2:N3"/>
    <mergeCell ref="M17:N17"/>
    <mergeCell ref="M18:N18"/>
    <mergeCell ref="K16:K18"/>
    <mergeCell ref="M16:N16"/>
    <mergeCell ref="M14:N14"/>
    <mergeCell ref="M15:N15"/>
    <mergeCell ref="M21:N21"/>
    <mergeCell ref="K22:K25"/>
    <mergeCell ref="M24:N24"/>
    <mergeCell ref="M19:N19"/>
    <mergeCell ref="M20:N20"/>
    <mergeCell ref="M31:N31"/>
    <mergeCell ref="C32:D32"/>
    <mergeCell ref="E32:F32"/>
    <mergeCell ref="G32:H32"/>
    <mergeCell ref="I32:J32"/>
    <mergeCell ref="M32:N32"/>
    <mergeCell ref="B13:J31"/>
    <mergeCell ref="M29:N29"/>
    <mergeCell ref="M30:N30"/>
    <mergeCell ref="K28:K30"/>
    <mergeCell ref="M28:N28"/>
    <mergeCell ref="M25:N25"/>
    <mergeCell ref="M26:N26"/>
    <mergeCell ref="M27:N27"/>
    <mergeCell ref="M22:N22"/>
    <mergeCell ref="M23:N23"/>
    <mergeCell ref="C33:D33"/>
    <mergeCell ref="E33:F33"/>
    <mergeCell ref="G33:H33"/>
    <mergeCell ref="I33:J33"/>
    <mergeCell ref="M33:N33"/>
  </mergeCells>
  <conditionalFormatting sqref="C4:H4">
    <cfRule type="expression" dxfId="35" priority="3" stopIfTrue="1">
      <formula>DAY(C4)&gt;8</formula>
    </cfRule>
  </conditionalFormatting>
  <conditionalFormatting sqref="C8:I10">
    <cfRule type="expression" dxfId="34" priority="2" stopIfTrue="1">
      <formula>AND(DAY(C8)&gt;=1,DAY(C8)&lt;=15)</formula>
    </cfRule>
  </conditionalFormatting>
  <conditionalFormatting sqref="C4:I9">
    <cfRule type="expression" dxfId="33" priority="4">
      <formula>VLOOKUP(DAY(C4),AssignmentDays,1,FALSE)=DAY(C4)</formula>
    </cfRule>
  </conditionalFormatting>
  <conditionalFormatting sqref="B32:J33">
    <cfRule type="expression" dxfId="32" priority="1">
      <formula>B32&lt;&gt;""</formula>
    </cfRule>
  </conditionalFormatting>
  <printOptions horizontalCentered="1"/>
  <pageMargins left="0.5" right="0.5" top="0.5" bottom="0.5" header="0.3" footer="0.3"/>
  <pageSetup scale="63"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499984740745262"/>
    <pageSetUpPr fitToPage="1"/>
  </sheetPr>
  <dimension ref="A1:AO33"/>
  <sheetViews>
    <sheetView showGridLines="0" zoomScaleNormal="100" zoomScalePageLayoutView="84" workbookViewId="0">
      <selection activeCell="S27" sqref="S27"/>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54" t="s">
        <v>9</v>
      </c>
      <c r="C2" s="15"/>
      <c r="D2" s="15"/>
      <c r="E2" s="15"/>
      <c r="F2" s="15"/>
      <c r="G2" s="15"/>
      <c r="H2" s="15"/>
      <c r="I2" s="15"/>
      <c r="J2" s="16"/>
      <c r="K2" s="157" t="s">
        <v>89</v>
      </c>
      <c r="L2" s="158"/>
      <c r="M2" s="158"/>
      <c r="N2" s="19"/>
    </row>
    <row r="3" spans="1:14" ht="21" customHeight="1" x14ac:dyDescent="0.2">
      <c r="A3" s="2"/>
      <c r="B3" s="155"/>
      <c r="C3" s="49" t="s">
        <v>84</v>
      </c>
      <c r="D3" s="49" t="s">
        <v>1</v>
      </c>
      <c r="E3" s="49" t="s">
        <v>85</v>
      </c>
      <c r="F3" s="49" t="s">
        <v>1</v>
      </c>
      <c r="G3" s="49" t="s">
        <v>86</v>
      </c>
      <c r="H3" s="49" t="s">
        <v>0</v>
      </c>
      <c r="I3" s="49" t="s">
        <v>0</v>
      </c>
      <c r="J3" s="3"/>
      <c r="K3" s="159"/>
      <c r="L3" s="160"/>
      <c r="M3" s="160"/>
      <c r="N3" s="20"/>
    </row>
    <row r="4" spans="1:14" ht="18" customHeight="1" x14ac:dyDescent="0.2">
      <c r="A4" s="2"/>
      <c r="B4" s="155"/>
      <c r="C4" s="4">
        <f>IF(DAY(MaySun1)=1,MaySun1-6,MaySun1+1)</f>
        <v>42485</v>
      </c>
      <c r="D4" s="4">
        <f>IF(DAY(MaySun1)=1,MaySun1-5,MaySun1+2)</f>
        <v>42486</v>
      </c>
      <c r="E4" s="4">
        <f>IF(DAY(MaySun1)=1,MaySun1-4,MaySun1+3)</f>
        <v>42487</v>
      </c>
      <c r="F4" s="4">
        <f>IF(DAY(MaySun1)=1,MaySun1-3,MaySun1+4)</f>
        <v>42488</v>
      </c>
      <c r="G4" s="4">
        <f>IF(DAY(MaySun1)=1,MaySun1-2,MaySun1+5)</f>
        <v>42489</v>
      </c>
      <c r="H4" s="4">
        <f>IF(DAY(MaySun1)=1,MaySun1-1,MaySun1+6)</f>
        <v>42490</v>
      </c>
      <c r="I4" s="4">
        <f>IF(DAY(MaySun1)=1,MaySun1,MaySun1+7)</f>
        <v>42491</v>
      </c>
      <c r="J4" s="3"/>
      <c r="K4" s="112"/>
      <c r="L4" s="10">
        <v>2</v>
      </c>
      <c r="M4" s="113" t="s">
        <v>15</v>
      </c>
      <c r="N4" s="114"/>
    </row>
    <row r="5" spans="1:14" ht="18" customHeight="1" x14ac:dyDescent="0.2">
      <c r="A5" s="2"/>
      <c r="B5" s="155"/>
      <c r="C5" s="4">
        <f>IF(DAY(MaySun1)=1,MaySun1+1,MaySun1+8)</f>
        <v>42492</v>
      </c>
      <c r="D5" s="4">
        <f>IF(DAY(MaySun1)=1,MaySun1+2,MaySun1+9)</f>
        <v>42493</v>
      </c>
      <c r="E5" s="4">
        <f>IF(DAY(MaySun1)=1,MaySun1+3,MaySun1+10)</f>
        <v>42494</v>
      </c>
      <c r="F5" s="4">
        <f>IF(DAY(MaySun1)=1,MaySun1+4,MaySun1+11)</f>
        <v>42495</v>
      </c>
      <c r="G5" s="4">
        <f>IF(DAY(MaySun1)=1,MaySun1+5,MaySun1+12)</f>
        <v>42496</v>
      </c>
      <c r="H5" s="4">
        <f>IF(DAY(MaySun1)=1,MaySun1+6,MaySun1+13)</f>
        <v>42497</v>
      </c>
      <c r="I5" s="4">
        <f>IF(DAY(MaySun1)=1,MaySun1+7,MaySun1+14)</f>
        <v>42498</v>
      </c>
      <c r="J5" s="3"/>
      <c r="K5" s="86"/>
      <c r="L5" s="11">
        <v>4</v>
      </c>
      <c r="M5" s="82" t="s">
        <v>31</v>
      </c>
      <c r="N5" s="83"/>
    </row>
    <row r="6" spans="1:14" ht="18" customHeight="1" x14ac:dyDescent="0.2">
      <c r="A6" s="2"/>
      <c r="B6" s="155"/>
      <c r="C6" s="4">
        <f>IF(DAY(MaySun1)=1,MaySun1+8,MaySun1+15)</f>
        <v>42499</v>
      </c>
      <c r="D6" s="4">
        <f>IF(DAY(MaySun1)=1,MaySun1+9,MaySun1+16)</f>
        <v>42500</v>
      </c>
      <c r="E6" s="4">
        <f>IF(DAY(MaySun1)=1,MaySun1+10,MaySun1+17)</f>
        <v>42501</v>
      </c>
      <c r="F6" s="4">
        <f>IF(DAY(MaySun1)=1,MaySun1+11,MaySun1+18)</f>
        <v>42502</v>
      </c>
      <c r="G6" s="4">
        <f>IF(DAY(MaySun1)=1,MaySun1+12,MaySun1+19)</f>
        <v>42503</v>
      </c>
      <c r="H6" s="4">
        <f>IF(DAY(MaySun1)=1,MaySun1+13,MaySun1+20)</f>
        <v>42504</v>
      </c>
      <c r="I6" s="4">
        <f>IF(DAY(MaySun1)=1,MaySun1+14,MaySun1+21)</f>
        <v>42505</v>
      </c>
      <c r="J6" s="3"/>
      <c r="K6" s="86"/>
      <c r="L6" s="11">
        <v>5</v>
      </c>
      <c r="M6" s="82" t="s">
        <v>18</v>
      </c>
      <c r="N6" s="83"/>
    </row>
    <row r="7" spans="1:14" ht="18" customHeight="1" x14ac:dyDescent="0.2">
      <c r="A7" s="2"/>
      <c r="B7" s="155"/>
      <c r="C7" s="4">
        <f>IF(DAY(MaySun1)=1,MaySun1+15,MaySun1+22)</f>
        <v>42506</v>
      </c>
      <c r="D7" s="4">
        <f>IF(DAY(MaySun1)=1,MaySun1+16,MaySun1+23)</f>
        <v>42507</v>
      </c>
      <c r="E7" s="4">
        <f>IF(DAY(MaySun1)=1,MaySun1+17,MaySun1+24)</f>
        <v>42508</v>
      </c>
      <c r="F7" s="4">
        <f>IF(DAY(MaySun1)=1,MaySun1+18,MaySun1+25)</f>
        <v>42509</v>
      </c>
      <c r="G7" s="4">
        <f>IF(DAY(MaySun1)=1,MaySun1+19,MaySun1+26)</f>
        <v>42510</v>
      </c>
      <c r="H7" s="4">
        <f>IF(DAY(MaySun1)=1,MaySun1+20,MaySun1+27)</f>
        <v>42511</v>
      </c>
      <c r="I7" s="4">
        <f>IF(DAY(MaySun1)=1,MaySun1+21,MaySun1+28)</f>
        <v>42512</v>
      </c>
      <c r="J7" s="3"/>
      <c r="K7" s="5"/>
      <c r="L7" s="11">
        <v>11</v>
      </c>
      <c r="M7" s="82" t="s">
        <v>73</v>
      </c>
      <c r="N7" s="83"/>
    </row>
    <row r="8" spans="1:14" ht="18.75" customHeight="1" x14ac:dyDescent="0.2">
      <c r="A8" s="2"/>
      <c r="B8" s="155"/>
      <c r="C8" s="4">
        <f>IF(DAY(MaySun1)=1,MaySun1+22,MaySun1+29)</f>
        <v>42513</v>
      </c>
      <c r="D8" s="4">
        <f>IF(DAY(MaySun1)=1,MaySun1+23,MaySun1+30)</f>
        <v>42514</v>
      </c>
      <c r="E8" s="4">
        <f>IF(DAY(MaySun1)=1,MaySun1+24,MaySun1+31)</f>
        <v>42515</v>
      </c>
      <c r="F8" s="4">
        <f>IF(DAY(MaySun1)=1,MaySun1+25,MaySun1+32)</f>
        <v>42516</v>
      </c>
      <c r="G8" s="4">
        <f>IF(DAY(MaySun1)=1,MaySun1+26,MaySun1+33)</f>
        <v>42517</v>
      </c>
      <c r="H8" s="4">
        <f>IF(DAY(MaySun1)=1,MaySun1+27,MaySun1+34)</f>
        <v>42518</v>
      </c>
      <c r="I8" s="4">
        <f>IF(DAY(MaySun1)=1,MaySun1+28,MaySun1+35)</f>
        <v>42519</v>
      </c>
      <c r="J8" s="3"/>
      <c r="K8" s="5"/>
      <c r="L8" s="11">
        <v>15</v>
      </c>
      <c r="M8" s="82" t="s">
        <v>32</v>
      </c>
      <c r="N8" s="83"/>
    </row>
    <row r="9" spans="1:14" ht="18" customHeight="1" x14ac:dyDescent="0.2">
      <c r="A9" s="2"/>
      <c r="B9" s="155"/>
      <c r="C9" s="4">
        <f>IF(DAY(MaySun1)=1,MaySun1+29,MaySun1+36)</f>
        <v>42520</v>
      </c>
      <c r="D9" s="4">
        <f>IF(DAY(MaySun1)=1,MaySun1+30,MaySun1+37)</f>
        <v>42521</v>
      </c>
      <c r="E9" s="4">
        <f>IF(DAY(MaySun1)=1,MaySun1+31,MaySun1+38)</f>
        <v>42522</v>
      </c>
      <c r="F9" s="4">
        <f>IF(DAY(MaySun1)=1,MaySun1+32,MaySun1+39)</f>
        <v>42523</v>
      </c>
      <c r="G9" s="4">
        <f>IF(DAY(MaySun1)=1,MaySun1+33,MaySun1+40)</f>
        <v>42524</v>
      </c>
      <c r="H9" s="4">
        <f>IF(DAY(MaySun1)=1,MaySun1+34,MaySun1+41)</f>
        <v>42525</v>
      </c>
      <c r="I9" s="4">
        <f>IF(DAY(MaySun1)=1,MaySun1+35,MaySun1+42)</f>
        <v>42526</v>
      </c>
      <c r="J9" s="3"/>
      <c r="K9" s="6"/>
      <c r="L9" s="11">
        <v>20</v>
      </c>
      <c r="M9" s="82" t="s">
        <v>66</v>
      </c>
      <c r="N9" s="83"/>
    </row>
    <row r="10" spans="1:14" ht="18" customHeight="1" x14ac:dyDescent="0.2">
      <c r="A10" s="2"/>
      <c r="B10" s="156"/>
      <c r="C10" s="17"/>
      <c r="D10" s="17"/>
      <c r="E10" s="17"/>
      <c r="F10" s="17"/>
      <c r="G10" s="17"/>
      <c r="H10" s="17"/>
      <c r="I10" s="17"/>
      <c r="J10" s="18"/>
      <c r="K10" s="85"/>
      <c r="L10" s="11">
        <v>22</v>
      </c>
      <c r="M10" s="82" t="s">
        <v>75</v>
      </c>
      <c r="N10" s="83"/>
    </row>
    <row r="11" spans="1:14" ht="18" customHeight="1" x14ac:dyDescent="0.2">
      <c r="A11" s="2"/>
      <c r="B11" s="71"/>
      <c r="C11" s="123"/>
      <c r="D11" s="123"/>
      <c r="E11" s="123"/>
      <c r="F11" s="123"/>
      <c r="G11" s="123"/>
      <c r="H11" s="123"/>
      <c r="I11" s="123"/>
      <c r="J11" s="73"/>
      <c r="K11" s="86"/>
      <c r="L11" s="12">
        <v>23</v>
      </c>
      <c r="M11" s="91" t="s">
        <v>43</v>
      </c>
      <c r="N11" s="92"/>
    </row>
    <row r="12" spans="1:14" ht="18" customHeight="1" x14ac:dyDescent="0.2">
      <c r="A12" s="2"/>
      <c r="B12" s="71"/>
      <c r="C12" s="123"/>
      <c r="D12" s="123"/>
      <c r="E12" s="123"/>
      <c r="F12" s="123"/>
      <c r="G12" s="123"/>
      <c r="H12" s="123"/>
      <c r="I12" s="123"/>
      <c r="J12" s="73"/>
      <c r="K12" s="86"/>
      <c r="L12" s="10">
        <v>25</v>
      </c>
      <c r="M12" s="93" t="s">
        <v>52</v>
      </c>
      <c r="N12" s="94"/>
    </row>
    <row r="13" spans="1:14" ht="18" customHeight="1" x14ac:dyDescent="0.2">
      <c r="B13" s="21"/>
      <c r="C13" s="62"/>
      <c r="D13" s="64"/>
      <c r="E13" s="62"/>
      <c r="F13" s="64"/>
      <c r="G13" s="62"/>
      <c r="H13" s="64"/>
      <c r="I13" s="62"/>
      <c r="J13" s="63"/>
      <c r="K13" s="5"/>
      <c r="L13" s="11">
        <v>31</v>
      </c>
      <c r="M13" s="82" t="s">
        <v>19</v>
      </c>
      <c r="N13" s="83"/>
    </row>
    <row r="14" spans="1:14" ht="18" customHeight="1" x14ac:dyDescent="0.2">
      <c r="B14" s="22"/>
      <c r="C14" s="60"/>
      <c r="D14" s="61"/>
      <c r="E14" s="60"/>
      <c r="F14" s="61"/>
      <c r="G14" s="60"/>
      <c r="H14" s="61"/>
      <c r="I14" s="60"/>
      <c r="J14" s="77"/>
      <c r="K14" s="5"/>
      <c r="L14" s="11"/>
      <c r="M14" s="82" t="s">
        <v>93</v>
      </c>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74"/>
      <c r="D16" s="75"/>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74"/>
      <c r="D20" s="75"/>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74"/>
      <c r="D22" s="75"/>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74"/>
      <c r="D24" s="75"/>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74"/>
      <c r="D26" s="75"/>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31" priority="3" stopIfTrue="1">
      <formula>DAY(C4)&gt;8</formula>
    </cfRule>
  </conditionalFormatting>
  <conditionalFormatting sqref="C8:I10">
    <cfRule type="expression" dxfId="30" priority="2" stopIfTrue="1">
      <formula>AND(DAY(C8)&gt;=1,DAY(C8)&lt;=15)</formula>
    </cfRule>
  </conditionalFormatting>
  <conditionalFormatting sqref="C4:I9">
    <cfRule type="expression" dxfId="29" priority="4">
      <formula>VLOOKUP(DAY(C4),AssignmentDays,1,FALSE)=DAY(C4)</formula>
    </cfRule>
  </conditionalFormatting>
  <conditionalFormatting sqref="B14:C33 E14:J33 D27:D33">
    <cfRule type="expression" dxfId="28" priority="1">
      <formula>B14&lt;&gt;""</formula>
    </cfRule>
  </conditionalFormatting>
  <printOptions horizontalCentered="1"/>
  <pageMargins left="0.5" right="0.5" top="0.5" bottom="0.5" header="0.3" footer="0.3"/>
  <pageSetup scale="63"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3300"/>
    <pageSetUpPr fitToPage="1"/>
  </sheetPr>
  <dimension ref="A1:AO33"/>
  <sheetViews>
    <sheetView showGridLines="0" zoomScaleNormal="100" zoomScalePageLayoutView="84" workbookViewId="0">
      <selection activeCell="J2" sqref="J2"/>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61" t="s">
        <v>8</v>
      </c>
      <c r="C2" s="15"/>
      <c r="D2" s="15"/>
      <c r="E2" s="15"/>
      <c r="F2" s="15"/>
      <c r="G2" s="15"/>
      <c r="H2" s="15"/>
      <c r="I2" s="15"/>
      <c r="J2" s="16"/>
      <c r="K2" s="164" t="s">
        <v>87</v>
      </c>
      <c r="L2" s="165"/>
      <c r="M2" s="165"/>
      <c r="N2" s="19"/>
    </row>
    <row r="3" spans="1:14" ht="21" customHeight="1" x14ac:dyDescent="0.2">
      <c r="A3" s="2"/>
      <c r="B3" s="162"/>
      <c r="C3" s="48" t="s">
        <v>84</v>
      </c>
      <c r="D3" s="48" t="s">
        <v>1</v>
      </c>
      <c r="E3" s="48" t="s">
        <v>85</v>
      </c>
      <c r="F3" s="48" t="s">
        <v>1</v>
      </c>
      <c r="G3" s="48" t="s">
        <v>86</v>
      </c>
      <c r="H3" s="48" t="s">
        <v>0</v>
      </c>
      <c r="I3" s="48" t="s">
        <v>0</v>
      </c>
      <c r="J3" s="3"/>
      <c r="K3" s="166"/>
      <c r="L3" s="167"/>
      <c r="M3" s="167"/>
      <c r="N3" s="20"/>
    </row>
    <row r="4" spans="1:14" ht="18" customHeight="1" x14ac:dyDescent="0.2">
      <c r="A4" s="2"/>
      <c r="B4" s="162"/>
      <c r="C4" s="4">
        <f>IF(DAY(JunSun1)=1,JunSun1-6,JunSun1+1)</f>
        <v>42520</v>
      </c>
      <c r="D4" s="4">
        <f>IF(DAY(JunSun1)=1,JunSun1-5,JunSun1+2)</f>
        <v>42521</v>
      </c>
      <c r="E4" s="4">
        <f>IF(DAY(JunSun1)=1,JunSun1-4,JunSun1+3)</f>
        <v>42522</v>
      </c>
      <c r="F4" s="4">
        <f>IF(DAY(JunSun1)=1,JunSun1-3,JunSun1+4)</f>
        <v>42523</v>
      </c>
      <c r="G4" s="4">
        <f>IF(DAY(JunSun1)=1,JunSun1-2,JunSun1+5)</f>
        <v>42524</v>
      </c>
      <c r="H4" s="4">
        <f>IF(DAY(JunSun1)=1,JunSun1-1,JunSun1+6)</f>
        <v>42525</v>
      </c>
      <c r="I4" s="4">
        <f>IF(DAY(JunSun1)=1,JunSun1,JunSun1+7)</f>
        <v>42526</v>
      </c>
      <c r="J4" s="3"/>
      <c r="K4" s="112"/>
      <c r="L4" s="10">
        <v>3</v>
      </c>
      <c r="M4" s="113" t="s">
        <v>30</v>
      </c>
      <c r="N4" s="114"/>
    </row>
    <row r="5" spans="1:14" ht="18" customHeight="1" x14ac:dyDescent="0.2">
      <c r="A5" s="2"/>
      <c r="B5" s="162"/>
      <c r="C5" s="4">
        <f>IF(DAY(JunSun1)=1,JunSun1+1,JunSun1+8)</f>
        <v>42527</v>
      </c>
      <c r="D5" s="4">
        <f>IF(DAY(JunSun1)=1,JunSun1+2,JunSun1+9)</f>
        <v>42528</v>
      </c>
      <c r="E5" s="4">
        <f>IF(DAY(JunSun1)=1,JunSun1+3,JunSun1+10)</f>
        <v>42529</v>
      </c>
      <c r="F5" s="4">
        <f>IF(DAY(JunSun1)=1,JunSun1+4,JunSun1+11)</f>
        <v>42530</v>
      </c>
      <c r="G5" s="4">
        <f>IF(DAY(JunSun1)=1,JunSun1+5,JunSun1+12)</f>
        <v>42531</v>
      </c>
      <c r="H5" s="4">
        <f>IF(DAY(JunSun1)=1,JunSun1+6,JunSun1+13)</f>
        <v>42532</v>
      </c>
      <c r="I5" s="4">
        <f>IF(DAY(JunSun1)=1,JunSun1+7,JunSun1+14)</f>
        <v>42533</v>
      </c>
      <c r="J5" s="3"/>
      <c r="K5" s="86"/>
      <c r="L5" s="12">
        <v>6</v>
      </c>
      <c r="M5" s="91" t="s">
        <v>65</v>
      </c>
      <c r="N5" s="92"/>
    </row>
    <row r="6" spans="1:14" ht="18" customHeight="1" x14ac:dyDescent="0.2">
      <c r="A6" s="2"/>
      <c r="B6" s="162"/>
      <c r="C6" s="4">
        <f>IF(DAY(JunSun1)=1,JunSun1+8,JunSun1+15)</f>
        <v>42534</v>
      </c>
      <c r="D6" s="4">
        <f>IF(DAY(JunSun1)=1,JunSun1+9,JunSun1+16)</f>
        <v>42535</v>
      </c>
      <c r="E6" s="4">
        <f>IF(DAY(JunSun1)=1,JunSun1+10,JunSun1+17)</f>
        <v>42536</v>
      </c>
      <c r="F6" s="4">
        <f>IF(DAY(JunSun1)=1,JunSun1+11,JunSun1+18)</f>
        <v>42537</v>
      </c>
      <c r="G6" s="4">
        <f>IF(DAY(JunSun1)=1,JunSun1+12,JunSun1+19)</f>
        <v>42538</v>
      </c>
      <c r="H6" s="4">
        <f>IF(DAY(JunSun1)=1,JunSun1+13,JunSun1+20)</f>
        <v>42539</v>
      </c>
      <c r="I6" s="38">
        <f>IF(DAY(JunSun1)=1,JunSun1+14,JunSun1+21)</f>
        <v>42540</v>
      </c>
      <c r="J6" s="3"/>
      <c r="K6" s="86"/>
      <c r="L6" s="11">
        <v>7</v>
      </c>
      <c r="M6" s="82" t="s">
        <v>91</v>
      </c>
      <c r="N6" s="83"/>
    </row>
    <row r="7" spans="1:14" ht="18" customHeight="1" x14ac:dyDescent="0.2">
      <c r="A7" s="2"/>
      <c r="B7" s="162"/>
      <c r="C7" s="4">
        <f>IF(DAY(JunSun1)=1,JunSun1+15,JunSun1+22)</f>
        <v>42541</v>
      </c>
      <c r="D7" s="4">
        <f>IF(DAY(JunSun1)=1,JunSun1+16,JunSun1+23)</f>
        <v>42542</v>
      </c>
      <c r="E7" s="4">
        <f>IF(DAY(JunSun1)=1,JunSun1+17,JunSun1+24)</f>
        <v>42543</v>
      </c>
      <c r="F7" s="4">
        <f>IF(DAY(JunSun1)=1,JunSun1+18,JunSun1+25)</f>
        <v>42544</v>
      </c>
      <c r="G7" s="4">
        <f>IF(DAY(JunSun1)=1,JunSun1+19,JunSun1+26)</f>
        <v>42545</v>
      </c>
      <c r="H7" s="4">
        <f>IF(DAY(JunSun1)=1,JunSun1+20,JunSun1+27)</f>
        <v>42546</v>
      </c>
      <c r="I7" s="4">
        <f>IF(DAY(JunSun1)=1,JunSun1+21,JunSun1+28)</f>
        <v>42547</v>
      </c>
      <c r="J7" s="3"/>
      <c r="K7" s="5"/>
      <c r="L7" s="11">
        <v>16</v>
      </c>
      <c r="M7" s="82" t="s">
        <v>56</v>
      </c>
      <c r="N7" s="83"/>
    </row>
    <row r="8" spans="1:14" ht="18.75" customHeight="1" x14ac:dyDescent="0.2">
      <c r="A8" s="2"/>
      <c r="B8" s="162"/>
      <c r="C8" s="4">
        <f>IF(DAY(JunSun1)=1,JunSun1+22,JunSun1+29)</f>
        <v>42548</v>
      </c>
      <c r="D8" s="4">
        <f>IF(DAY(JunSun1)=1,JunSun1+23,JunSun1+30)</f>
        <v>42549</v>
      </c>
      <c r="E8" s="4">
        <f>IF(DAY(JunSun1)=1,JunSun1+24,JunSun1+31)</f>
        <v>42550</v>
      </c>
      <c r="F8" s="4">
        <f>IF(DAY(JunSun1)=1,JunSun1+25,JunSun1+32)</f>
        <v>42551</v>
      </c>
      <c r="G8" s="4">
        <f>IF(DAY(JunSun1)=1,JunSun1+26,JunSun1+33)</f>
        <v>42552</v>
      </c>
      <c r="H8" s="4">
        <f>IF(DAY(JunSun1)=1,JunSun1+27,JunSun1+34)</f>
        <v>42553</v>
      </c>
      <c r="I8" s="4">
        <f>IF(DAY(JunSun1)=1,JunSun1+28,JunSun1+35)</f>
        <v>42554</v>
      </c>
      <c r="J8" s="3"/>
      <c r="K8" s="5"/>
      <c r="L8" s="11">
        <v>18</v>
      </c>
      <c r="M8" s="82" t="s">
        <v>34</v>
      </c>
      <c r="N8" s="83"/>
    </row>
    <row r="9" spans="1:14" ht="18" customHeight="1" x14ac:dyDescent="0.2">
      <c r="A9" s="2"/>
      <c r="B9" s="162"/>
      <c r="C9" s="4">
        <f>IF(DAY(JunSun1)=1,JunSun1+29,JunSun1+36)</f>
        <v>42555</v>
      </c>
      <c r="D9" s="4">
        <f>IF(DAY(JunSun1)=1,JunSun1+30,JunSun1+37)</f>
        <v>42556</v>
      </c>
      <c r="E9" s="4">
        <f>IF(DAY(JunSun1)=1,JunSun1+31,JunSun1+38)</f>
        <v>42557</v>
      </c>
      <c r="F9" s="4">
        <f>IF(DAY(JunSun1)=1,JunSun1+32,JunSun1+39)</f>
        <v>42558</v>
      </c>
      <c r="G9" s="4">
        <f>IF(DAY(JunSun1)=1,JunSun1+33,JunSun1+40)</f>
        <v>42559</v>
      </c>
      <c r="H9" s="4">
        <f>IF(DAY(JunSun1)=1,JunSun1+34,JunSun1+41)</f>
        <v>42560</v>
      </c>
      <c r="I9" s="4">
        <f>IF(DAY(JunSun1)=1,JunSun1+35,JunSun1+42)</f>
        <v>42561</v>
      </c>
      <c r="J9" s="3"/>
      <c r="K9" s="6"/>
      <c r="L9" s="11">
        <v>27</v>
      </c>
      <c r="M9" s="82" t="s">
        <v>49</v>
      </c>
      <c r="N9" s="83"/>
    </row>
    <row r="10" spans="1:14" ht="18" customHeight="1" x14ac:dyDescent="0.2">
      <c r="A10" s="2"/>
      <c r="B10" s="163"/>
      <c r="C10" s="17"/>
      <c r="D10" s="17"/>
      <c r="E10" s="17"/>
      <c r="F10" s="17"/>
      <c r="G10" s="17"/>
      <c r="H10" s="17"/>
      <c r="I10" s="17"/>
      <c r="J10" s="18"/>
      <c r="K10" s="85"/>
      <c r="L10" s="10">
        <v>29</v>
      </c>
      <c r="M10" s="93" t="s">
        <v>68</v>
      </c>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27"/>
      <c r="D13" s="28"/>
      <c r="E13" s="27"/>
      <c r="F13" s="28"/>
      <c r="G13" s="27"/>
      <c r="H13" s="28"/>
      <c r="I13" s="62"/>
      <c r="J13" s="63"/>
      <c r="K13" s="5"/>
      <c r="L13" s="11"/>
      <c r="M13" s="82"/>
      <c r="N13" s="83"/>
    </row>
    <row r="14" spans="1:14" ht="18" customHeight="1" x14ac:dyDescent="0.2">
      <c r="B14" s="22"/>
      <c r="C14" s="29"/>
      <c r="D14" s="30"/>
      <c r="E14" s="29"/>
      <c r="F14" s="30"/>
      <c r="G14" s="29"/>
      <c r="H14" s="30"/>
      <c r="I14" s="60"/>
      <c r="J14" s="77"/>
      <c r="K14" s="5"/>
      <c r="L14" s="11"/>
      <c r="M14" s="82"/>
      <c r="N14" s="83"/>
    </row>
    <row r="15" spans="1:14" ht="18" customHeight="1" x14ac:dyDescent="0.2">
      <c r="B15" s="23"/>
      <c r="C15" s="31"/>
      <c r="D15" s="32"/>
      <c r="E15" s="31"/>
      <c r="F15" s="32"/>
      <c r="G15" s="31"/>
      <c r="H15" s="32"/>
      <c r="I15" s="78"/>
      <c r="J15" s="79"/>
      <c r="K15" s="7"/>
      <c r="L15" s="13"/>
      <c r="M15" s="91"/>
      <c r="N15" s="92"/>
    </row>
    <row r="16" spans="1:14" ht="18" customHeight="1" x14ac:dyDescent="0.2">
      <c r="B16" s="22"/>
      <c r="C16" s="33"/>
      <c r="D16" s="34"/>
      <c r="E16" s="33"/>
      <c r="F16" s="34"/>
      <c r="G16" s="33"/>
      <c r="H16" s="34"/>
      <c r="I16" s="119"/>
      <c r="J16" s="120"/>
      <c r="K16" s="117"/>
      <c r="L16" s="10"/>
      <c r="M16" s="93"/>
      <c r="N16" s="94"/>
    </row>
    <row r="17" spans="2:14" ht="18" customHeight="1" x14ac:dyDescent="0.2">
      <c r="B17" s="23"/>
      <c r="C17" s="31"/>
      <c r="D17" s="32"/>
      <c r="E17" s="31"/>
      <c r="F17" s="32"/>
      <c r="G17" s="31"/>
      <c r="H17" s="32"/>
      <c r="I17" s="78"/>
      <c r="J17" s="79"/>
      <c r="K17" s="118"/>
      <c r="L17" s="11"/>
      <c r="M17" s="82"/>
      <c r="N17" s="83"/>
    </row>
    <row r="18" spans="2:14" ht="18" customHeight="1" x14ac:dyDescent="0.2">
      <c r="B18" s="24"/>
      <c r="C18" s="33"/>
      <c r="D18" s="34"/>
      <c r="E18" s="33"/>
      <c r="F18" s="34"/>
      <c r="G18" s="33"/>
      <c r="H18" s="34"/>
      <c r="I18" s="74"/>
      <c r="J18" s="76"/>
      <c r="K18" s="118"/>
      <c r="L18" s="11"/>
      <c r="M18" s="82"/>
      <c r="N18" s="83"/>
    </row>
    <row r="19" spans="2:14" ht="18" customHeight="1" x14ac:dyDescent="0.2">
      <c r="B19" s="23"/>
      <c r="C19" s="31"/>
      <c r="D19" s="32"/>
      <c r="E19" s="31"/>
      <c r="F19" s="32"/>
      <c r="G19" s="31"/>
      <c r="H19" s="32"/>
      <c r="I19" s="78"/>
      <c r="J19" s="79"/>
      <c r="K19" s="5"/>
      <c r="L19" s="11"/>
      <c r="M19" s="82"/>
      <c r="N19" s="83"/>
    </row>
    <row r="20" spans="2:14" ht="18" customHeight="1" x14ac:dyDescent="0.2">
      <c r="B20" s="22"/>
      <c r="C20" s="33"/>
      <c r="D20" s="34"/>
      <c r="E20" s="33"/>
      <c r="F20" s="34"/>
      <c r="G20" s="33"/>
      <c r="H20" s="34"/>
      <c r="I20" s="60"/>
      <c r="J20" s="77"/>
      <c r="K20" s="5"/>
      <c r="L20" s="11"/>
      <c r="M20" s="82"/>
      <c r="N20" s="83"/>
    </row>
    <row r="21" spans="2:14" ht="18" customHeight="1" x14ac:dyDescent="0.2">
      <c r="B21" s="23"/>
      <c r="C21" s="31"/>
      <c r="D21" s="32"/>
      <c r="E21" s="31"/>
      <c r="F21" s="32"/>
      <c r="G21" s="31"/>
      <c r="H21" s="32"/>
      <c r="I21" s="87"/>
      <c r="J21" s="88"/>
      <c r="K21" s="7"/>
      <c r="L21" s="13"/>
      <c r="M21" s="91"/>
      <c r="N21" s="92"/>
    </row>
    <row r="22" spans="2:14" ht="18" customHeight="1" x14ac:dyDescent="0.2">
      <c r="B22" s="22"/>
      <c r="C22" s="33"/>
      <c r="D22" s="34"/>
      <c r="E22" s="33"/>
      <c r="F22" s="34"/>
      <c r="G22" s="33"/>
      <c r="H22" s="34"/>
      <c r="I22" s="60"/>
      <c r="J22" s="77"/>
      <c r="K22" s="117"/>
      <c r="L22" s="10"/>
      <c r="M22" s="93"/>
      <c r="N22" s="94"/>
    </row>
    <row r="23" spans="2:14" ht="18" customHeight="1" x14ac:dyDescent="0.2">
      <c r="B23" s="23"/>
      <c r="C23" s="31"/>
      <c r="D23" s="32"/>
      <c r="E23" s="31"/>
      <c r="F23" s="32"/>
      <c r="G23" s="31"/>
      <c r="H23" s="32"/>
      <c r="I23" s="78"/>
      <c r="J23" s="79"/>
      <c r="K23" s="118"/>
      <c r="L23" s="11"/>
      <c r="M23" s="82"/>
      <c r="N23" s="83"/>
    </row>
    <row r="24" spans="2:14" ht="18" customHeight="1" x14ac:dyDescent="0.2">
      <c r="B24" s="22"/>
      <c r="C24" s="33"/>
      <c r="D24" s="34"/>
      <c r="E24" s="33"/>
      <c r="F24" s="34"/>
      <c r="G24" s="33"/>
      <c r="H24" s="34"/>
      <c r="I24" s="60"/>
      <c r="J24" s="77"/>
      <c r="K24" s="118"/>
      <c r="L24" s="11"/>
      <c r="M24" s="82"/>
      <c r="N24" s="83"/>
    </row>
    <row r="25" spans="2:14" ht="18" customHeight="1" x14ac:dyDescent="0.2">
      <c r="B25" s="23"/>
      <c r="C25" s="31"/>
      <c r="D25" s="32"/>
      <c r="E25" s="31"/>
      <c r="F25" s="32"/>
      <c r="G25" s="31"/>
      <c r="H25" s="32"/>
      <c r="I25" s="78"/>
      <c r="J25" s="79"/>
      <c r="K25" s="118"/>
      <c r="L25" s="11"/>
      <c r="M25" s="82"/>
      <c r="N25" s="83"/>
    </row>
    <row r="26" spans="2:14" ht="18" customHeight="1" x14ac:dyDescent="0.2">
      <c r="B26" s="22"/>
      <c r="C26" s="33"/>
      <c r="D26" s="34"/>
      <c r="E26" s="33"/>
      <c r="F26" s="34"/>
      <c r="G26" s="33"/>
      <c r="H26" s="34"/>
      <c r="I26" s="60"/>
      <c r="J26" s="77"/>
      <c r="K26" s="5"/>
      <c r="L26" s="11"/>
      <c r="M26" s="82"/>
      <c r="N26" s="83"/>
    </row>
    <row r="27" spans="2:14" ht="18" customHeight="1" x14ac:dyDescent="0.2">
      <c r="B27" s="23"/>
      <c r="C27" s="31"/>
      <c r="D27" s="32"/>
      <c r="E27" s="31"/>
      <c r="F27" s="32"/>
      <c r="G27" s="31"/>
      <c r="H27" s="32"/>
      <c r="I27" s="78"/>
      <c r="J27" s="79"/>
      <c r="K27" s="7"/>
      <c r="L27" s="13"/>
      <c r="M27" s="91"/>
      <c r="N27" s="92"/>
    </row>
    <row r="28" spans="2:14" ht="18" customHeight="1" x14ac:dyDescent="0.2">
      <c r="B28" s="22"/>
      <c r="C28" s="33"/>
      <c r="D28" s="34"/>
      <c r="E28" s="33"/>
      <c r="F28" s="34"/>
      <c r="G28" s="33"/>
      <c r="H28" s="34"/>
      <c r="I28" s="60"/>
      <c r="J28" s="77"/>
      <c r="K28" s="85"/>
      <c r="L28" s="10"/>
      <c r="M28" s="93"/>
      <c r="N28" s="94"/>
    </row>
    <row r="29" spans="2:14" ht="18" customHeight="1" x14ac:dyDescent="0.2">
      <c r="B29" s="23"/>
      <c r="C29" s="31"/>
      <c r="D29" s="32"/>
      <c r="E29" s="31"/>
      <c r="F29" s="32"/>
      <c r="G29" s="31"/>
      <c r="H29" s="32"/>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sheetData>
  <mergeCells count="71">
    <mergeCell ref="M10:N10"/>
    <mergeCell ref="B11:J12"/>
    <mergeCell ref="M11:N11"/>
    <mergeCell ref="M12:N12"/>
    <mergeCell ref="I13:J13"/>
    <mergeCell ref="M13:N13"/>
    <mergeCell ref="B2:B10"/>
    <mergeCell ref="K2:M3"/>
    <mergeCell ref="K4:K6"/>
    <mergeCell ref="M4:N4"/>
    <mergeCell ref="M5:N5"/>
    <mergeCell ref="M6:N6"/>
    <mergeCell ref="M7:N7"/>
    <mergeCell ref="M8:N8"/>
    <mergeCell ref="M9:N9"/>
    <mergeCell ref="K10:K12"/>
    <mergeCell ref="I16:J16"/>
    <mergeCell ref="K16:K18"/>
    <mergeCell ref="M16:N16"/>
    <mergeCell ref="I17:J17"/>
    <mergeCell ref="I14:J14"/>
    <mergeCell ref="M14:N14"/>
    <mergeCell ref="I15:J15"/>
    <mergeCell ref="M15:N15"/>
    <mergeCell ref="I19:J19"/>
    <mergeCell ref="M19:N19"/>
    <mergeCell ref="I20:J20"/>
    <mergeCell ref="M20:N20"/>
    <mergeCell ref="M17:N17"/>
    <mergeCell ref="I18:J18"/>
    <mergeCell ref="M18:N18"/>
    <mergeCell ref="M22:N22"/>
    <mergeCell ref="I23:J23"/>
    <mergeCell ref="M23:N23"/>
    <mergeCell ref="I21:J21"/>
    <mergeCell ref="M21:N21"/>
    <mergeCell ref="I22:J22"/>
    <mergeCell ref="K22:K25"/>
    <mergeCell ref="I24:J24"/>
    <mergeCell ref="M24:N24"/>
    <mergeCell ref="I28:J28"/>
    <mergeCell ref="K28:K30"/>
    <mergeCell ref="M28:N28"/>
    <mergeCell ref="I29:J29"/>
    <mergeCell ref="I25:J25"/>
    <mergeCell ref="M25:N25"/>
    <mergeCell ref="I26:J26"/>
    <mergeCell ref="M26:N26"/>
    <mergeCell ref="I27:J27"/>
    <mergeCell ref="M27:N27"/>
    <mergeCell ref="M29:N29"/>
    <mergeCell ref="C30:D30"/>
    <mergeCell ref="E30:F30"/>
    <mergeCell ref="G30:H30"/>
    <mergeCell ref="I30:J30"/>
    <mergeCell ref="M30:N30"/>
    <mergeCell ref="C32:D32"/>
    <mergeCell ref="E32:F32"/>
    <mergeCell ref="G32:H32"/>
    <mergeCell ref="I32:J32"/>
    <mergeCell ref="M32:N32"/>
    <mergeCell ref="C31:D31"/>
    <mergeCell ref="E31:F31"/>
    <mergeCell ref="G31:H31"/>
    <mergeCell ref="I31:J31"/>
    <mergeCell ref="M31:N31"/>
    <mergeCell ref="C33:D33"/>
    <mergeCell ref="E33:F33"/>
    <mergeCell ref="G33:H33"/>
    <mergeCell ref="I33:J33"/>
    <mergeCell ref="M33:N33"/>
  </mergeCells>
  <conditionalFormatting sqref="C4:H4">
    <cfRule type="expression" dxfId="27" priority="3" stopIfTrue="1">
      <formula>DAY(C4)&gt;8</formula>
    </cfRule>
  </conditionalFormatting>
  <conditionalFormatting sqref="C8:I10">
    <cfRule type="expression" dxfId="26" priority="2" stopIfTrue="1">
      <formula>AND(DAY(C8)&gt;=1,DAY(C8)&lt;=15)</formula>
    </cfRule>
  </conditionalFormatting>
  <conditionalFormatting sqref="C4:I9">
    <cfRule type="expression" dxfId="25" priority="4">
      <formula>VLOOKUP(DAY(C4),AssignmentDays,1,FALSE)=DAY(C4)</formula>
    </cfRule>
  </conditionalFormatting>
  <conditionalFormatting sqref="B14:C33 I14:J33 H30:H33 F30:F33 G14:G33 E14:E33 D30:D33">
    <cfRule type="expression" dxfId="24" priority="1">
      <formula>B14&lt;&gt;""</formula>
    </cfRule>
  </conditionalFormatting>
  <printOptions horizontalCentered="1"/>
  <pageMargins left="0.5" right="0.5" top="0.5" bottom="0.5" header="0.3" footer="0.3"/>
  <pageSetup scale="63"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50F95"/>
    <pageSetUpPr fitToPage="1"/>
  </sheetPr>
  <dimension ref="A1:AO35"/>
  <sheetViews>
    <sheetView showGridLines="0" zoomScaleNormal="100" zoomScalePageLayoutView="84" workbookViewId="0">
      <selection activeCell="R25" sqref="R25"/>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68" t="s">
        <v>7</v>
      </c>
      <c r="C2" s="15"/>
      <c r="D2" s="15"/>
      <c r="E2" s="15"/>
      <c r="F2" s="15"/>
      <c r="G2" s="15"/>
      <c r="H2" s="15"/>
      <c r="I2" s="15"/>
      <c r="J2" s="16"/>
      <c r="K2" s="171" t="s">
        <v>87</v>
      </c>
      <c r="L2" s="172">
        <v>2013</v>
      </c>
      <c r="M2" s="172"/>
      <c r="N2" s="19"/>
    </row>
    <row r="3" spans="1:14" ht="21" customHeight="1" x14ac:dyDescent="0.2">
      <c r="A3" s="2"/>
      <c r="B3" s="169"/>
      <c r="C3" s="47" t="s">
        <v>84</v>
      </c>
      <c r="D3" s="47" t="s">
        <v>1</v>
      </c>
      <c r="E3" s="47" t="s">
        <v>85</v>
      </c>
      <c r="F3" s="47" t="s">
        <v>1</v>
      </c>
      <c r="G3" s="47" t="s">
        <v>86</v>
      </c>
      <c r="H3" s="47" t="s">
        <v>0</v>
      </c>
      <c r="I3" s="47" t="s">
        <v>0</v>
      </c>
      <c r="J3" s="3"/>
      <c r="K3" s="173"/>
      <c r="L3" s="174"/>
      <c r="M3" s="174"/>
      <c r="N3" s="20"/>
    </row>
    <row r="4" spans="1:14" ht="18" customHeight="1" x14ac:dyDescent="0.2">
      <c r="A4" s="2"/>
      <c r="B4" s="169"/>
      <c r="C4" s="4">
        <f>IF(DAY(JulSun1)=1,JulSun1-6,JulSun1+1)</f>
        <v>42548</v>
      </c>
      <c r="D4" s="4">
        <f>IF(DAY(JulSun1)=1,JulSun1-5,JulSun1+2)</f>
        <v>42549</v>
      </c>
      <c r="E4" s="4">
        <f>IF(DAY(JulSun1)=1,JulSun1-4,JulSun1+3)</f>
        <v>42550</v>
      </c>
      <c r="F4" s="4">
        <f>IF(DAY(JulSun1)=1,JulSun1-3,JulSun1+4)</f>
        <v>42551</v>
      </c>
      <c r="G4" s="4">
        <f>IF(DAY(JulSun1)=1,JulSun1-2,JulSun1+5)</f>
        <v>42552</v>
      </c>
      <c r="H4" s="54">
        <f>IF(DAY(JulSun1)=1,JulSun1-1,JulSun1+6)</f>
        <v>42553</v>
      </c>
      <c r="I4" s="54">
        <f>IF(DAY(JulSun1)=1,JulSun1,JulSun1+7)</f>
        <v>42554</v>
      </c>
      <c r="J4" s="3"/>
      <c r="K4" s="112"/>
      <c r="L4" s="10">
        <v>9</v>
      </c>
      <c r="M4" s="93" t="s">
        <v>83</v>
      </c>
      <c r="N4" s="94"/>
    </row>
    <row r="5" spans="1:14" ht="18" customHeight="1" x14ac:dyDescent="0.2">
      <c r="A5" s="2"/>
      <c r="B5" s="169"/>
      <c r="C5" s="4">
        <f>IF(DAY(JulSun1)=1,JulSun1+1,JulSun1+8)</f>
        <v>42555</v>
      </c>
      <c r="D5" s="4">
        <f>IF(DAY(JulSun1)=1,JulSun1+2,JulSun1+9)</f>
        <v>42556</v>
      </c>
      <c r="E5" s="4">
        <f>IF(DAY(JulSun1)=1,JulSun1+3,JulSun1+10)</f>
        <v>42557</v>
      </c>
      <c r="F5" s="4">
        <f>IF(DAY(JulSun1)=1,JulSun1+4,JulSun1+11)</f>
        <v>42558</v>
      </c>
      <c r="G5" s="4">
        <f>IF(DAY(JulSun1)=1,JulSun1+5,JulSun1+12)</f>
        <v>42559</v>
      </c>
      <c r="H5" s="4">
        <f>IF(DAY(JulSun1)=1,JulSun1+6,JulSun1+13)</f>
        <v>42560</v>
      </c>
      <c r="I5" s="4">
        <f>IF(DAY(JulSun1)=1,JulSun1+7,JulSun1+14)</f>
        <v>42561</v>
      </c>
      <c r="J5" s="3"/>
      <c r="K5" s="86"/>
      <c r="L5" s="11">
        <v>11</v>
      </c>
      <c r="M5" s="82" t="s">
        <v>70</v>
      </c>
      <c r="N5" s="83"/>
    </row>
    <row r="6" spans="1:14" ht="18" customHeight="1" x14ac:dyDescent="0.2">
      <c r="A6" s="2"/>
      <c r="B6" s="169"/>
      <c r="C6" s="4">
        <f>IF(DAY(JulSun1)=1,JulSun1+8,JulSun1+15)</f>
        <v>42562</v>
      </c>
      <c r="D6" s="54">
        <f>IF(DAY(JulSun1)=1,JulSun1+9,JulSun1+16)</f>
        <v>42563</v>
      </c>
      <c r="E6" s="4">
        <f>IF(DAY(JulSun1)=1,JulSun1+10,JulSun1+17)</f>
        <v>42564</v>
      </c>
      <c r="F6" s="4">
        <f>IF(DAY(JulSun1)=1,JulSun1+11,JulSun1+18)</f>
        <v>42565</v>
      </c>
      <c r="G6" s="4">
        <f>IF(DAY(JulSun1)=1,JulSun1+12,JulSun1+19)</f>
        <v>42566</v>
      </c>
      <c r="H6" s="4">
        <f>IF(DAY(JulSun1)=1,JulSun1+13,JulSun1+20)</f>
        <v>42567</v>
      </c>
      <c r="I6" s="4">
        <f>IF(DAY(JulSun1)=1,JulSun1+14,JulSun1+21)</f>
        <v>42568</v>
      </c>
      <c r="J6" s="3"/>
      <c r="K6" s="86"/>
      <c r="L6" s="11">
        <v>17</v>
      </c>
      <c r="M6" s="82" t="s">
        <v>26</v>
      </c>
      <c r="N6" s="83"/>
    </row>
    <row r="7" spans="1:14" ht="18" customHeight="1" x14ac:dyDescent="0.2">
      <c r="A7" s="2"/>
      <c r="B7" s="169"/>
      <c r="C7" s="4">
        <f>IF(DAY(JulSun1)=1,JulSun1+15,JulSun1+22)</f>
        <v>42569</v>
      </c>
      <c r="D7" s="4">
        <f>IF(DAY(JulSun1)=1,JulSun1+16,JulSun1+23)</f>
        <v>42570</v>
      </c>
      <c r="E7" s="4">
        <f>IF(DAY(JulSun1)=1,JulSun1+17,JulSun1+24)</f>
        <v>42571</v>
      </c>
      <c r="F7" s="4">
        <f>IF(DAY(JulSun1)=1,JulSun1+18,JulSun1+25)</f>
        <v>42572</v>
      </c>
      <c r="G7" s="4">
        <f>IF(DAY(JulSun1)=1,JulSun1+19,JulSun1+26)</f>
        <v>42573</v>
      </c>
      <c r="H7" s="4">
        <f>IF(DAY(JulSun1)=1,JulSun1+20,JulSun1+27)</f>
        <v>42574</v>
      </c>
      <c r="I7" s="4">
        <f>IF(DAY(JulSun1)=1,JulSun1+21,JulSun1+28)</f>
        <v>42575</v>
      </c>
      <c r="J7" s="3"/>
      <c r="K7" s="5"/>
      <c r="L7" s="11">
        <v>18</v>
      </c>
      <c r="M7" s="82" t="s">
        <v>63</v>
      </c>
      <c r="N7" s="83"/>
    </row>
    <row r="8" spans="1:14" ht="18.75" customHeight="1" x14ac:dyDescent="0.2">
      <c r="A8" s="2"/>
      <c r="B8" s="169"/>
      <c r="C8" s="4">
        <f>IF(DAY(JulSun1)=1,JulSun1+22,JulSun1+29)</f>
        <v>42576</v>
      </c>
      <c r="D8" s="4">
        <f>IF(DAY(JulSun1)=1,JulSun1+23,JulSun1+30)</f>
        <v>42577</v>
      </c>
      <c r="E8" s="4">
        <f>IF(DAY(JulSun1)=1,JulSun1+24,JulSun1+31)</f>
        <v>42578</v>
      </c>
      <c r="F8" s="4">
        <f>IF(DAY(JulSun1)=1,JulSun1+25,JulSun1+32)</f>
        <v>42579</v>
      </c>
      <c r="G8" s="4">
        <f>IF(DAY(JulSun1)=1,JulSun1+26,JulSun1+33)</f>
        <v>42580</v>
      </c>
      <c r="H8" s="4">
        <f>IF(DAY(JulSun1)=1,JulSun1+27,JulSun1+34)</f>
        <v>42581</v>
      </c>
      <c r="I8" s="4">
        <f>IF(DAY(JulSun1)=1,JulSun1+28,JulSun1+35)</f>
        <v>42582</v>
      </c>
      <c r="J8" s="3"/>
      <c r="K8" s="5"/>
      <c r="L8" s="10">
        <v>23</v>
      </c>
      <c r="M8" s="113" t="s">
        <v>24</v>
      </c>
      <c r="N8" s="114"/>
    </row>
    <row r="9" spans="1:14" ht="18" customHeight="1" x14ac:dyDescent="0.2">
      <c r="A9" s="2"/>
      <c r="B9" s="169"/>
      <c r="C9" s="4">
        <f>IF(DAY(JulSun1)=1,JulSun1+29,JulSun1+36)</f>
        <v>42583</v>
      </c>
      <c r="D9" s="4">
        <f>IF(DAY(JulSun1)=1,JulSun1+30,JulSun1+37)</f>
        <v>42584</v>
      </c>
      <c r="E9" s="4">
        <f>IF(DAY(JulSun1)=1,JulSun1+31,JulSun1+38)</f>
        <v>42585</v>
      </c>
      <c r="F9" s="4">
        <f>IF(DAY(JulSun1)=1,JulSun1+32,JulSun1+39)</f>
        <v>42586</v>
      </c>
      <c r="G9" s="4">
        <f>IF(DAY(JulSun1)=1,JulSun1+33,JulSun1+40)</f>
        <v>42587</v>
      </c>
      <c r="H9" s="4">
        <f>IF(DAY(JulSun1)=1,JulSun1+34,JulSun1+41)</f>
        <v>42588</v>
      </c>
      <c r="I9" s="4">
        <f>IF(DAY(JulSun1)=1,JulSun1+35,JulSun1+42)</f>
        <v>42589</v>
      </c>
      <c r="J9" s="3"/>
      <c r="K9" s="6"/>
      <c r="L9" s="12">
        <v>25</v>
      </c>
      <c r="M9" s="91" t="s">
        <v>78</v>
      </c>
      <c r="N9" s="92"/>
    </row>
    <row r="10" spans="1:14" ht="18" customHeight="1" x14ac:dyDescent="0.2">
      <c r="A10" s="2"/>
      <c r="B10" s="170"/>
      <c r="C10" s="17"/>
      <c r="D10" s="17"/>
      <c r="E10" s="17"/>
      <c r="F10" s="17"/>
      <c r="G10" s="17"/>
      <c r="H10" s="17"/>
      <c r="I10" s="17"/>
      <c r="J10" s="18"/>
      <c r="K10" s="85"/>
      <c r="L10" s="11">
        <v>30</v>
      </c>
      <c r="M10" s="82" t="s">
        <v>48</v>
      </c>
      <c r="N10" s="83"/>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row r="35" spans="2:14" ht="16.5" customHeight="1" x14ac:dyDescent="0.2">
      <c r="B35" s="26"/>
      <c r="C35" s="26"/>
      <c r="D35" s="26"/>
      <c r="E35" s="26"/>
      <c r="F35" s="26"/>
      <c r="G35" s="26"/>
      <c r="H35" s="26"/>
      <c r="I35" s="26"/>
      <c r="J35" s="26"/>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23" priority="3" stopIfTrue="1">
      <formula>DAY(C4)&gt;8</formula>
    </cfRule>
  </conditionalFormatting>
  <conditionalFormatting sqref="C8:I10">
    <cfRule type="expression" dxfId="22" priority="2" stopIfTrue="1">
      <formula>AND(DAY(C8)&gt;=1,DAY(C8)&lt;=15)</formula>
    </cfRule>
  </conditionalFormatting>
  <conditionalFormatting sqref="C4:I9">
    <cfRule type="expression" dxfId="21" priority="4">
      <formula>VLOOKUP(DAY(C4),AssignmentDays,1,FALSE)=DAY(C4)</formula>
    </cfRule>
  </conditionalFormatting>
  <conditionalFormatting sqref="B14:J33">
    <cfRule type="expression" dxfId="20" priority="1">
      <formula>B14&lt;&gt;""</formula>
    </cfRule>
  </conditionalFormatting>
  <printOptions horizontalCentered="1"/>
  <pageMargins left="0.5" right="0.5" top="0.5" bottom="0.5" header="0.3" footer="0.3"/>
  <pageSetup scale="63"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499984740745262"/>
    <pageSetUpPr fitToPage="1"/>
  </sheetPr>
  <dimension ref="A1:AO34"/>
  <sheetViews>
    <sheetView showGridLines="0" zoomScaleNormal="100" zoomScalePageLayoutView="84" workbookViewId="0">
      <selection activeCell="G33" sqref="G33:H33"/>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75" t="s">
        <v>6</v>
      </c>
      <c r="C2" s="15"/>
      <c r="D2" s="15"/>
      <c r="E2" s="15"/>
      <c r="F2" s="15"/>
      <c r="G2" s="15"/>
      <c r="H2" s="15"/>
      <c r="I2" s="15"/>
      <c r="J2" s="16"/>
      <c r="K2" s="178" t="s">
        <v>87</v>
      </c>
      <c r="L2" s="179">
        <v>2013</v>
      </c>
      <c r="M2" s="179"/>
      <c r="N2" s="19"/>
    </row>
    <row r="3" spans="1:14" ht="21" customHeight="1" x14ac:dyDescent="0.2">
      <c r="A3" s="2"/>
      <c r="B3" s="176"/>
      <c r="C3" s="46" t="s">
        <v>84</v>
      </c>
      <c r="D3" s="46" t="s">
        <v>1</v>
      </c>
      <c r="E3" s="46" t="s">
        <v>85</v>
      </c>
      <c r="F3" s="46" t="s">
        <v>1</v>
      </c>
      <c r="G3" s="46" t="s">
        <v>86</v>
      </c>
      <c r="H3" s="46" t="s">
        <v>0</v>
      </c>
      <c r="I3" s="46" t="s">
        <v>0</v>
      </c>
      <c r="J3" s="3"/>
      <c r="K3" s="180"/>
      <c r="L3" s="181"/>
      <c r="M3" s="181"/>
      <c r="N3" s="20"/>
    </row>
    <row r="4" spans="1:14" ht="18" customHeight="1" x14ac:dyDescent="0.2">
      <c r="A4" s="2"/>
      <c r="B4" s="176"/>
      <c r="C4" s="4">
        <f>IF(DAY(AugSun1)=1,AugSun1-6,AugSun1+1)</f>
        <v>42583</v>
      </c>
      <c r="D4" s="4">
        <f>IF(DAY(AugSun1)=1,AugSun1-5,AugSun1+2)</f>
        <v>42584</v>
      </c>
      <c r="E4" s="4">
        <f>IF(DAY(AugSun1)=1,AugSun1-4,AugSun1+3)</f>
        <v>42585</v>
      </c>
      <c r="F4" s="4">
        <f>IF(DAY(AugSun1)=1,AugSun1-3,AugSun1+4)</f>
        <v>42586</v>
      </c>
      <c r="G4" s="4">
        <f>IF(DAY(AugSun1)=1,AugSun1-2,AugSun1+5)</f>
        <v>42587</v>
      </c>
      <c r="H4" s="4">
        <f>IF(DAY(AugSun1)=1,AugSun1-1,AugSun1+6)</f>
        <v>42588</v>
      </c>
      <c r="I4" s="4">
        <f>IF(DAY(AugSun1)=1,AugSun1,AugSun1+7)</f>
        <v>42589</v>
      </c>
      <c r="J4" s="3"/>
      <c r="K4" s="112"/>
      <c r="L4" s="10">
        <v>5</v>
      </c>
      <c r="M4" s="113" t="s">
        <v>14</v>
      </c>
      <c r="N4" s="114"/>
    </row>
    <row r="5" spans="1:14" ht="18" customHeight="1" x14ac:dyDescent="0.2">
      <c r="A5" s="2"/>
      <c r="B5" s="176"/>
      <c r="C5" s="4">
        <f>IF(DAY(AugSun1)=1,AugSun1+1,AugSun1+8)</f>
        <v>42590</v>
      </c>
      <c r="D5" s="4">
        <f>IF(DAY(AugSun1)=1,AugSun1+2,AugSun1+9)</f>
        <v>42591</v>
      </c>
      <c r="E5" s="4">
        <f>IF(DAY(AugSun1)=1,AugSun1+3,AugSun1+10)</f>
        <v>42592</v>
      </c>
      <c r="F5" s="4">
        <f>IF(DAY(AugSun1)=1,AugSun1+4,AugSun1+11)</f>
        <v>42593</v>
      </c>
      <c r="G5" s="4">
        <f>IF(DAY(AugSun1)=1,AugSun1+5,AugSun1+12)</f>
        <v>42594</v>
      </c>
      <c r="H5" s="4">
        <f>IF(DAY(AugSun1)=1,AugSun1+6,AugSun1+13)</f>
        <v>42595</v>
      </c>
      <c r="I5" s="4">
        <f>IF(DAY(AugSun1)=1,AugSun1+7,AugSun1+14)</f>
        <v>42596</v>
      </c>
      <c r="J5" s="3"/>
      <c r="K5" s="86"/>
      <c r="L5" s="11">
        <v>7</v>
      </c>
      <c r="M5" s="82" t="s">
        <v>38</v>
      </c>
      <c r="N5" s="83"/>
    </row>
    <row r="6" spans="1:14" ht="18" customHeight="1" x14ac:dyDescent="0.2">
      <c r="A6" s="2"/>
      <c r="B6" s="176"/>
      <c r="C6" s="4">
        <f>IF(DAY(AugSun1)=1,AugSun1+8,AugSun1+15)</f>
        <v>42597</v>
      </c>
      <c r="D6" s="4">
        <f>IF(DAY(AugSun1)=1,AugSun1+9,AugSun1+16)</f>
        <v>42598</v>
      </c>
      <c r="E6" s="4">
        <f>IF(DAY(AugSun1)=1,AugSun1+10,AugSun1+17)</f>
        <v>42599</v>
      </c>
      <c r="F6" s="4">
        <f>IF(DAY(AugSun1)=1,AugSun1+11,AugSun1+18)</f>
        <v>42600</v>
      </c>
      <c r="G6" s="4">
        <f>IF(DAY(AugSun1)=1,AugSun1+12,AugSun1+19)</f>
        <v>42601</v>
      </c>
      <c r="H6" s="4">
        <f>IF(DAY(AugSun1)=1,AugSun1+13,AugSun1+20)</f>
        <v>42602</v>
      </c>
      <c r="I6" s="4">
        <f>IF(DAY(AugSun1)=1,AugSun1+14,AugSun1+21)</f>
        <v>42603</v>
      </c>
      <c r="J6" s="3"/>
      <c r="K6" s="86"/>
      <c r="L6" s="11">
        <v>9</v>
      </c>
      <c r="M6" s="82" t="s">
        <v>39</v>
      </c>
      <c r="N6" s="83"/>
    </row>
    <row r="7" spans="1:14" ht="18" customHeight="1" x14ac:dyDescent="0.2">
      <c r="A7" s="2"/>
      <c r="B7" s="176"/>
      <c r="C7" s="4">
        <f>IF(DAY(AugSun1)=1,AugSun1+15,AugSun1+22)</f>
        <v>42604</v>
      </c>
      <c r="D7" s="4">
        <f>IF(DAY(AugSun1)=1,AugSun1+16,AugSun1+23)</f>
        <v>42605</v>
      </c>
      <c r="E7" s="4">
        <f>IF(DAY(AugSun1)=1,AugSun1+17,AugSun1+24)</f>
        <v>42606</v>
      </c>
      <c r="F7" s="4">
        <f>IF(DAY(AugSun1)=1,AugSun1+18,AugSun1+25)</f>
        <v>42607</v>
      </c>
      <c r="G7" s="4">
        <f>IF(DAY(AugSun1)=1,AugSun1+19,AugSun1+26)</f>
        <v>42608</v>
      </c>
      <c r="H7" s="4">
        <f>IF(DAY(AugSun1)=1,AugSun1+20,AugSun1+27)</f>
        <v>42609</v>
      </c>
      <c r="I7" s="4">
        <f>IF(DAY(AugSun1)=1,AugSun1+21,AugSun1+28)</f>
        <v>42610</v>
      </c>
      <c r="J7" s="3"/>
      <c r="K7" s="5"/>
      <c r="L7" s="11">
        <v>24</v>
      </c>
      <c r="M7" s="82" t="s">
        <v>61</v>
      </c>
      <c r="N7" s="83"/>
    </row>
    <row r="8" spans="1:14" ht="18.75" customHeight="1" x14ac:dyDescent="0.2">
      <c r="A8" s="2"/>
      <c r="B8" s="176"/>
      <c r="C8" s="4">
        <f>IF(DAY(AugSun1)=1,AugSun1+22,AugSun1+29)</f>
        <v>42611</v>
      </c>
      <c r="D8" s="4">
        <f>IF(DAY(AugSun1)=1,AugSun1+23,AugSun1+30)</f>
        <v>42612</v>
      </c>
      <c r="E8" s="4">
        <f>IF(DAY(AugSun1)=1,AugSun1+24,AugSun1+31)</f>
        <v>42613</v>
      </c>
      <c r="F8" s="4">
        <f>IF(DAY(AugSun1)=1,AugSun1+25,AugSun1+32)</f>
        <v>42614</v>
      </c>
      <c r="G8" s="4">
        <f>IF(DAY(AugSun1)=1,AugSun1+26,AugSun1+33)</f>
        <v>42615</v>
      </c>
      <c r="H8" s="4">
        <f>IF(DAY(AugSun1)=1,AugSun1+27,AugSun1+34)</f>
        <v>42616</v>
      </c>
      <c r="I8" s="4">
        <f>IF(DAY(AugSun1)=1,AugSun1+28,AugSun1+35)</f>
        <v>42617</v>
      </c>
      <c r="J8" s="3"/>
      <c r="K8" s="5"/>
      <c r="L8" s="11">
        <v>25</v>
      </c>
      <c r="M8" s="82" t="s">
        <v>36</v>
      </c>
      <c r="N8" s="83"/>
    </row>
    <row r="9" spans="1:14" ht="18" customHeight="1" x14ac:dyDescent="0.2">
      <c r="A9" s="2"/>
      <c r="B9" s="176"/>
      <c r="C9" s="4">
        <f>IF(DAY(AugSun1)=1,AugSun1+29,AugSun1+36)</f>
        <v>42618</v>
      </c>
      <c r="D9" s="4">
        <f>IF(DAY(AugSun1)=1,AugSun1+30,AugSun1+37)</f>
        <v>42619</v>
      </c>
      <c r="E9" s="4">
        <f>IF(DAY(AugSun1)=1,AugSun1+31,AugSun1+38)</f>
        <v>42620</v>
      </c>
      <c r="F9" s="4">
        <f>IF(DAY(AugSun1)=1,AugSun1+32,AugSun1+39)</f>
        <v>42621</v>
      </c>
      <c r="G9" s="4">
        <f>IF(DAY(AugSun1)=1,AugSun1+33,AugSun1+40)</f>
        <v>42622</v>
      </c>
      <c r="H9" s="4">
        <f>IF(DAY(AugSun1)=1,AugSun1+34,AugSun1+41)</f>
        <v>42623</v>
      </c>
      <c r="I9" s="4">
        <f>IF(DAY(AugSun1)=1,AugSun1+35,AugSun1+42)</f>
        <v>42624</v>
      </c>
      <c r="J9" s="3"/>
      <c r="K9" s="6"/>
      <c r="L9" s="12"/>
      <c r="M9" s="91"/>
      <c r="N9" s="92"/>
    </row>
    <row r="10" spans="1:14" ht="18" customHeight="1" x14ac:dyDescent="0.2">
      <c r="A10" s="2"/>
      <c r="B10" s="177"/>
      <c r="C10" s="17"/>
      <c r="D10" s="17"/>
      <c r="E10" s="17"/>
      <c r="F10" s="17"/>
      <c r="G10" s="17"/>
      <c r="H10" s="17"/>
      <c r="I10" s="17"/>
      <c r="J10" s="18"/>
      <c r="K10" s="85"/>
      <c r="L10" s="10"/>
      <c r="M10" s="93"/>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19" priority="3" stopIfTrue="1">
      <formula>DAY(C4)&gt;8</formula>
    </cfRule>
  </conditionalFormatting>
  <conditionalFormatting sqref="C8:I10">
    <cfRule type="expression" dxfId="18" priority="2" stopIfTrue="1">
      <formula>AND(DAY(C8)&gt;=1,DAY(C8)&lt;=15)</formula>
    </cfRule>
  </conditionalFormatting>
  <conditionalFormatting sqref="C4:I9">
    <cfRule type="expression" dxfId="17" priority="4">
      <formula>VLOOKUP(DAY(C4),AssignmentDays,1,FALSE)=DAY(C4)</formula>
    </cfRule>
  </conditionalFormatting>
  <conditionalFormatting sqref="B14:J33">
    <cfRule type="expression" dxfId="16" priority="1">
      <formula>B14&lt;&gt;""</formula>
    </cfRule>
  </conditionalFormatting>
  <printOptions horizontalCentered="1"/>
  <pageMargins left="0.5" right="0.5" top="0.5" bottom="0.5" header="0.3" footer="0.3"/>
  <pageSetup scale="63"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6600"/>
    <pageSetUpPr fitToPage="1"/>
  </sheetPr>
  <dimension ref="A1:AO34"/>
  <sheetViews>
    <sheetView showGridLines="0" zoomScaleNormal="100" zoomScalePageLayoutView="84" workbookViewId="0">
      <selection activeCell="G17" sqref="G17:H17"/>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82" t="s">
        <v>5</v>
      </c>
      <c r="C2" s="15"/>
      <c r="D2" s="15"/>
      <c r="E2" s="15"/>
      <c r="F2" s="15"/>
      <c r="G2" s="15"/>
      <c r="H2" s="15"/>
      <c r="I2" s="15"/>
      <c r="J2" s="16"/>
      <c r="K2" s="185" t="s">
        <v>87</v>
      </c>
      <c r="L2" s="186">
        <v>2013</v>
      </c>
      <c r="M2" s="186"/>
      <c r="N2" s="19"/>
    </row>
    <row r="3" spans="1:14" ht="21" customHeight="1" x14ac:dyDescent="0.2">
      <c r="A3" s="2"/>
      <c r="B3" s="183"/>
      <c r="C3" s="42" t="s">
        <v>84</v>
      </c>
      <c r="D3" s="42" t="s">
        <v>1</v>
      </c>
      <c r="E3" s="42" t="s">
        <v>85</v>
      </c>
      <c r="F3" s="42" t="s">
        <v>1</v>
      </c>
      <c r="G3" s="42" t="s">
        <v>86</v>
      </c>
      <c r="H3" s="42" t="s">
        <v>0</v>
      </c>
      <c r="I3" s="42" t="s">
        <v>0</v>
      </c>
      <c r="J3" s="3"/>
      <c r="K3" s="187"/>
      <c r="L3" s="188"/>
      <c r="M3" s="188"/>
      <c r="N3" s="20"/>
    </row>
    <row r="4" spans="1:14" ht="18" customHeight="1" x14ac:dyDescent="0.2">
      <c r="A4" s="2"/>
      <c r="B4" s="183"/>
      <c r="C4" s="4">
        <f>IF(DAY(SepSun1)=1,SepSun1-6,SepSun1+1)</f>
        <v>42611</v>
      </c>
      <c r="D4" s="4">
        <f>IF(DAY(SepSun1)=1,SepSun1-5,SepSun1+2)</f>
        <v>42612</v>
      </c>
      <c r="E4" s="4">
        <f>IF(DAY(SepSun1)=1,SepSun1-4,SepSun1+3)</f>
        <v>42613</v>
      </c>
      <c r="F4" s="4">
        <f>IF(DAY(SepSun1)=1,SepSun1-3,SepSun1+4)</f>
        <v>42614</v>
      </c>
      <c r="G4" s="4">
        <f>IF(DAY(SepSun1)=1,SepSun1-2,SepSun1+5)</f>
        <v>42615</v>
      </c>
      <c r="H4" s="4">
        <f>IF(DAY(SepSun1)=1,SepSun1-1,SepSun1+6)</f>
        <v>42616</v>
      </c>
      <c r="I4" s="4">
        <f>IF(DAY(SepSun1)=1,SepSun1,SepSun1+7)</f>
        <v>42617</v>
      </c>
      <c r="J4" s="3"/>
      <c r="K4" s="112"/>
      <c r="L4" s="10">
        <v>1</v>
      </c>
      <c r="M4" s="39" t="s">
        <v>46</v>
      </c>
      <c r="N4" s="39"/>
    </row>
    <row r="5" spans="1:14" ht="18" customHeight="1" x14ac:dyDescent="0.2">
      <c r="A5" s="2"/>
      <c r="B5" s="183"/>
      <c r="C5" s="4">
        <f>IF(DAY(SepSun1)=1,SepSun1+1,SepSun1+8)</f>
        <v>42618</v>
      </c>
      <c r="D5" s="4">
        <f>IF(DAY(SepSun1)=1,SepSun1+2,SepSun1+9)</f>
        <v>42619</v>
      </c>
      <c r="E5" s="4">
        <f>IF(DAY(SepSun1)=1,SepSun1+3,SepSun1+10)</f>
        <v>42620</v>
      </c>
      <c r="F5" s="4">
        <f>IF(DAY(SepSun1)=1,SepSun1+4,SepSun1+11)</f>
        <v>42621</v>
      </c>
      <c r="G5" s="4">
        <f>IF(DAY(SepSun1)=1,SepSun1+5,SepSun1+12)</f>
        <v>42622</v>
      </c>
      <c r="H5" s="4">
        <f>IF(DAY(SepSun1)=1,SepSun1+6,SepSun1+13)</f>
        <v>42623</v>
      </c>
      <c r="I5" s="4">
        <f>IF(DAY(SepSun1)=1,SepSun1+7,SepSun1+14)</f>
        <v>42624</v>
      </c>
      <c r="J5" s="3"/>
      <c r="K5" s="86"/>
      <c r="L5" s="10">
        <v>10</v>
      </c>
      <c r="M5" s="189" t="s">
        <v>17</v>
      </c>
      <c r="N5" s="190"/>
    </row>
    <row r="6" spans="1:14" ht="18" customHeight="1" x14ac:dyDescent="0.2">
      <c r="A6" s="2"/>
      <c r="B6" s="183"/>
      <c r="C6" s="4">
        <f>IF(DAY(SepSun1)=1,SepSun1+8,SepSun1+15)</f>
        <v>42625</v>
      </c>
      <c r="D6" s="4">
        <f>IF(DAY(SepSun1)=1,SepSun1+9,SepSun1+16)</f>
        <v>42626</v>
      </c>
      <c r="E6" s="4">
        <f>IF(DAY(SepSun1)=1,SepSun1+10,SepSun1+17)</f>
        <v>42627</v>
      </c>
      <c r="F6" s="4">
        <f>IF(DAY(SepSun1)=1,SepSun1+11,SepSun1+18)</f>
        <v>42628</v>
      </c>
      <c r="G6" s="4">
        <f>IF(DAY(SepSun1)=1,SepSun1+12,SepSun1+19)</f>
        <v>42629</v>
      </c>
      <c r="H6" s="4">
        <f>IF(DAY(SepSun1)=1,SepSun1+13,SepSun1+20)</f>
        <v>42630</v>
      </c>
      <c r="I6" s="4">
        <f>IF(DAY(SepSun1)=1,SepSun1+14,SepSun1+21)</f>
        <v>42631</v>
      </c>
      <c r="J6" s="3"/>
      <c r="K6" s="86"/>
      <c r="L6" s="11"/>
      <c r="M6" s="82"/>
      <c r="N6" s="83"/>
    </row>
    <row r="7" spans="1:14" ht="18" customHeight="1" x14ac:dyDescent="0.2">
      <c r="A7" s="2"/>
      <c r="B7" s="183"/>
      <c r="C7" s="4">
        <f>IF(DAY(SepSun1)=1,SepSun1+15,SepSun1+22)</f>
        <v>42632</v>
      </c>
      <c r="D7" s="4">
        <f>IF(DAY(SepSun1)=1,SepSun1+16,SepSun1+23)</f>
        <v>42633</v>
      </c>
      <c r="E7" s="4">
        <f>IF(DAY(SepSun1)=1,SepSun1+17,SepSun1+24)</f>
        <v>42634</v>
      </c>
      <c r="F7" s="4">
        <f>IF(DAY(SepSun1)=1,SepSun1+18,SepSun1+25)</f>
        <v>42635</v>
      </c>
      <c r="G7" s="4">
        <f>IF(DAY(SepSun1)=1,SepSun1+19,SepSun1+26)</f>
        <v>42636</v>
      </c>
      <c r="H7" s="4">
        <f>IF(DAY(SepSun1)=1,SepSun1+20,SepSun1+27)</f>
        <v>42637</v>
      </c>
      <c r="I7" s="4">
        <f>IF(DAY(SepSun1)=1,SepSun1+21,SepSun1+28)</f>
        <v>42638</v>
      </c>
      <c r="J7" s="3"/>
      <c r="K7" s="5"/>
      <c r="L7" s="11"/>
      <c r="M7" s="82"/>
      <c r="N7" s="83"/>
    </row>
    <row r="8" spans="1:14" ht="18.75" customHeight="1" x14ac:dyDescent="0.2">
      <c r="A8" s="2"/>
      <c r="B8" s="183"/>
      <c r="C8" s="4">
        <f>IF(DAY(SepSun1)=1,SepSun1+22,SepSun1+29)</f>
        <v>42639</v>
      </c>
      <c r="D8" s="4">
        <f>IF(DAY(SepSun1)=1,SepSun1+23,SepSun1+30)</f>
        <v>42640</v>
      </c>
      <c r="E8" s="4">
        <f>IF(DAY(SepSun1)=1,SepSun1+24,SepSun1+31)</f>
        <v>42641</v>
      </c>
      <c r="F8" s="4">
        <f>IF(DAY(SepSun1)=1,SepSun1+25,SepSun1+32)</f>
        <v>42642</v>
      </c>
      <c r="G8" s="4">
        <f>IF(DAY(SepSun1)=1,SepSun1+26,SepSun1+33)</f>
        <v>42643</v>
      </c>
      <c r="H8" s="4">
        <f>IF(DAY(SepSun1)=1,SepSun1+27,SepSun1+34)</f>
        <v>42644</v>
      </c>
      <c r="I8" s="4">
        <f>IF(DAY(SepSun1)=1,SepSun1+28,SepSun1+35)</f>
        <v>42645</v>
      </c>
      <c r="J8" s="3"/>
      <c r="K8" s="5"/>
      <c r="L8" s="11"/>
      <c r="M8" s="82"/>
      <c r="N8" s="83"/>
    </row>
    <row r="9" spans="1:14" ht="18" customHeight="1" x14ac:dyDescent="0.2">
      <c r="A9" s="2"/>
      <c r="B9" s="183"/>
      <c r="C9" s="4">
        <f>IF(DAY(SepSun1)=1,SepSun1+29,SepSun1+36)</f>
        <v>42646</v>
      </c>
      <c r="D9" s="4">
        <f>IF(DAY(SepSun1)=1,SepSun1+30,SepSun1+37)</f>
        <v>42647</v>
      </c>
      <c r="E9" s="4">
        <f>IF(DAY(SepSun1)=1,SepSun1+31,SepSun1+38)</f>
        <v>42648</v>
      </c>
      <c r="F9" s="4">
        <f>IF(DAY(SepSun1)=1,SepSun1+32,SepSun1+39)</f>
        <v>42649</v>
      </c>
      <c r="G9" s="4">
        <f>IF(DAY(SepSun1)=1,SepSun1+33,SepSun1+40)</f>
        <v>42650</v>
      </c>
      <c r="H9" s="4">
        <f>IF(DAY(SepSun1)=1,SepSun1+34,SepSun1+41)</f>
        <v>42651</v>
      </c>
      <c r="I9" s="4">
        <f>IF(DAY(SepSun1)=1,SepSun1+35,SepSun1+42)</f>
        <v>42652</v>
      </c>
      <c r="J9" s="3"/>
      <c r="K9" s="6"/>
      <c r="L9" s="12"/>
      <c r="M9" s="91"/>
      <c r="N9" s="92"/>
    </row>
    <row r="10" spans="1:14" ht="18" customHeight="1" x14ac:dyDescent="0.2">
      <c r="A10" s="2"/>
      <c r="B10" s="184"/>
      <c r="C10" s="17"/>
      <c r="D10" s="17"/>
      <c r="E10" s="17"/>
      <c r="F10" s="17"/>
      <c r="G10" s="17"/>
      <c r="H10" s="17"/>
      <c r="I10" s="17"/>
      <c r="J10" s="18"/>
      <c r="K10" s="85"/>
      <c r="L10" s="10"/>
      <c r="M10" s="93"/>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sheetData>
  <mergeCells count="121">
    <mergeCell ref="M10:N10"/>
    <mergeCell ref="B11:J12"/>
    <mergeCell ref="M11:N11"/>
    <mergeCell ref="M12:N12"/>
    <mergeCell ref="C13:D13"/>
    <mergeCell ref="E13:F13"/>
    <mergeCell ref="G13:H13"/>
    <mergeCell ref="I13:J13"/>
    <mergeCell ref="M13:N13"/>
    <mergeCell ref="B2:B10"/>
    <mergeCell ref="K2:M3"/>
    <mergeCell ref="K4:K6"/>
    <mergeCell ref="M6:N6"/>
    <mergeCell ref="M7:N7"/>
    <mergeCell ref="M8:N8"/>
    <mergeCell ref="M9:N9"/>
    <mergeCell ref="K10:K12"/>
    <mergeCell ref="M5:N5"/>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15" priority="3" stopIfTrue="1">
      <formula>DAY(C4)&gt;8</formula>
    </cfRule>
  </conditionalFormatting>
  <conditionalFormatting sqref="C8:I10">
    <cfRule type="expression" dxfId="14" priority="2" stopIfTrue="1">
      <formula>AND(DAY(C8)&gt;=1,DAY(C8)&lt;=15)</formula>
    </cfRule>
  </conditionalFormatting>
  <conditionalFormatting sqref="C4:I9">
    <cfRule type="expression" dxfId="13" priority="4">
      <formula>VLOOKUP(DAY(C4),AssignmentDays,1,FALSE)=DAY(C4)</formula>
    </cfRule>
  </conditionalFormatting>
  <conditionalFormatting sqref="B14:J33">
    <cfRule type="expression" dxfId="12" priority="1">
      <formula>B14&lt;&gt;""</formula>
    </cfRule>
  </conditionalFormatting>
  <printOptions horizontalCentered="1"/>
  <pageMargins left="0.5" right="0.5" top="0.5" bottom="0.5" header="0.3" footer="0.3"/>
  <pageSetup scale="63"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462300"/>
    <pageSetUpPr fitToPage="1"/>
  </sheetPr>
  <dimension ref="A1:AO33"/>
  <sheetViews>
    <sheetView showGridLines="0" zoomScaleNormal="100" zoomScalePageLayoutView="84" workbookViewId="0">
      <selection activeCell="P24" sqref="P24"/>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91" t="s">
        <v>4</v>
      </c>
      <c r="C2" s="15"/>
      <c r="D2" s="15"/>
      <c r="E2" s="15"/>
      <c r="F2" s="15"/>
      <c r="G2" s="15"/>
      <c r="H2" s="15"/>
      <c r="I2" s="15"/>
      <c r="J2" s="16"/>
      <c r="K2" s="194" t="s">
        <v>87</v>
      </c>
      <c r="L2" s="195">
        <v>2013</v>
      </c>
      <c r="M2" s="195"/>
      <c r="N2" s="19"/>
    </row>
    <row r="3" spans="1:14" ht="21" customHeight="1" x14ac:dyDescent="0.2">
      <c r="A3" s="2"/>
      <c r="B3" s="192"/>
      <c r="C3" s="45" t="s">
        <v>84</v>
      </c>
      <c r="D3" s="45" t="s">
        <v>1</v>
      </c>
      <c r="E3" s="45" t="s">
        <v>85</v>
      </c>
      <c r="F3" s="45" t="s">
        <v>1</v>
      </c>
      <c r="G3" s="45" t="s">
        <v>86</v>
      </c>
      <c r="H3" s="45" t="s">
        <v>0</v>
      </c>
      <c r="I3" s="45" t="s">
        <v>0</v>
      </c>
      <c r="J3" s="3"/>
      <c r="K3" s="196"/>
      <c r="L3" s="197"/>
      <c r="M3" s="197"/>
      <c r="N3" s="20"/>
    </row>
    <row r="4" spans="1:14" ht="18" customHeight="1" x14ac:dyDescent="0.2">
      <c r="A4" s="2"/>
      <c r="B4" s="192"/>
      <c r="C4" s="4">
        <f>IF(DAY(OctSun1)=1,OctSun1-6,OctSun1+1)</f>
        <v>42639</v>
      </c>
      <c r="D4" s="4">
        <f>IF(DAY(OctSun1)=1,OctSun1-5,OctSun1+2)</f>
        <v>42640</v>
      </c>
      <c r="E4" s="4">
        <f>IF(DAY(OctSun1)=1,OctSun1-4,OctSun1+3)</f>
        <v>42641</v>
      </c>
      <c r="F4" s="4">
        <f>IF(DAY(OctSun1)=1,OctSun1-3,OctSun1+4)</f>
        <v>42642</v>
      </c>
      <c r="G4" s="4">
        <f>IF(DAY(OctSun1)=1,OctSun1-2,OctSun1+5)</f>
        <v>42643</v>
      </c>
      <c r="H4" s="4">
        <f>IF(DAY(OctSun1)=1,OctSun1-1,OctSun1+6)</f>
        <v>42644</v>
      </c>
      <c r="I4" s="4">
        <f>IF(DAY(OctSun1)=1,OctSun1,OctSun1+7)</f>
        <v>42645</v>
      </c>
      <c r="J4" s="3"/>
      <c r="K4" s="112"/>
      <c r="L4" s="11">
        <v>1</v>
      </c>
      <c r="M4" s="82" t="s">
        <v>45</v>
      </c>
      <c r="N4" s="83"/>
    </row>
    <row r="5" spans="1:14" ht="18" customHeight="1" x14ac:dyDescent="0.2">
      <c r="A5" s="2"/>
      <c r="B5" s="192"/>
      <c r="C5" s="4">
        <f>IF(DAY(OctSun1)=1,OctSun1+1,OctSun1+8)</f>
        <v>42646</v>
      </c>
      <c r="D5" s="4">
        <f>IF(DAY(OctSun1)=1,OctSun1+2,OctSun1+9)</f>
        <v>42647</v>
      </c>
      <c r="E5" s="4">
        <f>IF(DAY(OctSun1)=1,OctSun1+3,OctSun1+10)</f>
        <v>42648</v>
      </c>
      <c r="F5" s="4">
        <f>IF(DAY(OctSun1)=1,OctSun1+4,OctSun1+11)</f>
        <v>42649</v>
      </c>
      <c r="G5" s="4">
        <f>IF(DAY(OctSun1)=1,OctSun1+5,OctSun1+12)</f>
        <v>42650</v>
      </c>
      <c r="H5" s="4">
        <f>IF(DAY(OctSun1)=1,OctSun1+6,OctSun1+13)</f>
        <v>42651</v>
      </c>
      <c r="I5" s="4">
        <f>IF(DAY(OctSun1)=1,OctSun1+7,OctSun1+14)</f>
        <v>42652</v>
      </c>
      <c r="J5" s="3"/>
      <c r="K5" s="86"/>
      <c r="L5" s="11">
        <v>17</v>
      </c>
      <c r="M5" s="82" t="s">
        <v>76</v>
      </c>
      <c r="N5" s="83"/>
    </row>
    <row r="6" spans="1:14" ht="18" customHeight="1" x14ac:dyDescent="0.2">
      <c r="A6" s="2"/>
      <c r="B6" s="192"/>
      <c r="C6" s="4">
        <f>IF(DAY(OctSun1)=1,OctSun1+8,OctSun1+15)</f>
        <v>42653</v>
      </c>
      <c r="D6" s="4">
        <f>IF(DAY(OctSun1)=1,OctSun1+9,OctSun1+16)</f>
        <v>42654</v>
      </c>
      <c r="E6" s="4">
        <f>IF(DAY(OctSun1)=1,OctSun1+10,OctSun1+17)</f>
        <v>42655</v>
      </c>
      <c r="F6" s="4">
        <f>IF(DAY(OctSun1)=1,OctSun1+11,OctSun1+18)</f>
        <v>42656</v>
      </c>
      <c r="G6" s="4">
        <f>IF(DAY(OctSun1)=1,OctSun1+12,OctSun1+19)</f>
        <v>42657</v>
      </c>
      <c r="H6" s="4">
        <f>IF(DAY(OctSun1)=1,OctSun1+13,OctSun1+20)</f>
        <v>42658</v>
      </c>
      <c r="I6" s="4">
        <f>IF(DAY(OctSun1)=1,OctSun1+14,OctSun1+21)</f>
        <v>42659</v>
      </c>
      <c r="J6" s="3"/>
      <c r="K6" s="86"/>
      <c r="L6" s="10">
        <v>29</v>
      </c>
      <c r="M6" s="113" t="s">
        <v>41</v>
      </c>
      <c r="N6" s="114"/>
    </row>
    <row r="7" spans="1:14" ht="18" customHeight="1" x14ac:dyDescent="0.2">
      <c r="A7" s="2"/>
      <c r="B7" s="192"/>
      <c r="C7" s="4">
        <f>IF(DAY(OctSun1)=1,OctSun1+15,OctSun1+22)</f>
        <v>42660</v>
      </c>
      <c r="D7" s="4">
        <f>IF(DAY(OctSun1)=1,OctSun1+16,OctSun1+23)</f>
        <v>42661</v>
      </c>
      <c r="E7" s="4">
        <f>IF(DAY(OctSun1)=1,OctSun1+17,OctSun1+24)</f>
        <v>42662</v>
      </c>
      <c r="F7" s="4">
        <f>IF(DAY(OctSun1)=1,OctSun1+18,OctSun1+25)</f>
        <v>42663</v>
      </c>
      <c r="G7" s="4">
        <f>IF(DAY(OctSun1)=1,OctSun1+19,OctSun1+26)</f>
        <v>42664</v>
      </c>
      <c r="H7" s="4">
        <f>IF(DAY(OctSun1)=1,OctSun1+20,OctSun1+27)</f>
        <v>42665</v>
      </c>
      <c r="I7" s="4">
        <f>IF(DAY(OctSun1)=1,OctSun1+21,OctSun1+28)</f>
        <v>42666</v>
      </c>
      <c r="J7" s="3"/>
      <c r="K7" s="5"/>
      <c r="L7" s="11"/>
      <c r="M7" s="82"/>
      <c r="N7" s="83"/>
    </row>
    <row r="8" spans="1:14" ht="18.75" customHeight="1" x14ac:dyDescent="0.2">
      <c r="A8" s="2"/>
      <c r="B8" s="192"/>
      <c r="C8" s="4">
        <f>IF(DAY(OctSun1)=1,OctSun1+22,OctSun1+29)</f>
        <v>42667</v>
      </c>
      <c r="D8" s="4">
        <f>IF(DAY(OctSun1)=1,OctSun1+23,OctSun1+30)</f>
        <v>42668</v>
      </c>
      <c r="E8" s="4">
        <f>IF(DAY(OctSun1)=1,OctSun1+24,OctSun1+31)</f>
        <v>42669</v>
      </c>
      <c r="F8" s="4">
        <f>IF(DAY(OctSun1)=1,OctSun1+25,OctSun1+32)</f>
        <v>42670</v>
      </c>
      <c r="G8" s="4">
        <f>IF(DAY(OctSun1)=1,OctSun1+26,OctSun1+33)</f>
        <v>42671</v>
      </c>
      <c r="H8" s="4">
        <f>IF(DAY(OctSun1)=1,OctSun1+27,OctSun1+34)</f>
        <v>42672</v>
      </c>
      <c r="I8" s="4">
        <f>IF(DAY(OctSun1)=1,OctSun1+28,OctSun1+35)</f>
        <v>42673</v>
      </c>
      <c r="J8" s="3"/>
      <c r="K8" s="5"/>
      <c r="L8" s="11"/>
      <c r="M8" s="82"/>
      <c r="N8" s="83"/>
    </row>
    <row r="9" spans="1:14" ht="18" customHeight="1" x14ac:dyDescent="0.2">
      <c r="A9" s="2"/>
      <c r="B9" s="192"/>
      <c r="C9" s="4">
        <f>IF(DAY(OctSun1)=1,OctSun1+29,OctSun1+36)</f>
        <v>42674</v>
      </c>
      <c r="D9" s="4">
        <f>IF(DAY(OctSun1)=1,OctSun1+30,OctSun1+37)</f>
        <v>42675</v>
      </c>
      <c r="E9" s="4">
        <f>IF(DAY(OctSun1)=1,OctSun1+31,OctSun1+38)</f>
        <v>42676</v>
      </c>
      <c r="F9" s="4">
        <f>IF(DAY(OctSun1)=1,OctSun1+32,OctSun1+39)</f>
        <v>42677</v>
      </c>
      <c r="G9" s="4">
        <f>IF(DAY(OctSun1)=1,OctSun1+33,OctSun1+40)</f>
        <v>42678</v>
      </c>
      <c r="H9" s="4">
        <f>IF(DAY(OctSun1)=1,OctSun1+34,OctSun1+41)</f>
        <v>42679</v>
      </c>
      <c r="I9" s="4">
        <f>IF(DAY(OctSun1)=1,OctSun1+35,OctSun1+42)</f>
        <v>42680</v>
      </c>
      <c r="J9" s="3"/>
      <c r="K9" s="6"/>
      <c r="L9" s="12"/>
      <c r="M9" s="91"/>
      <c r="N9" s="92"/>
    </row>
    <row r="10" spans="1:14" ht="18" customHeight="1" x14ac:dyDescent="0.2">
      <c r="A10" s="2"/>
      <c r="B10" s="193"/>
      <c r="C10" s="17"/>
      <c r="D10" s="17"/>
      <c r="E10" s="17"/>
      <c r="F10" s="17"/>
      <c r="G10" s="17"/>
      <c r="H10" s="17"/>
      <c r="I10" s="17"/>
      <c r="J10" s="18"/>
      <c r="K10" s="85"/>
      <c r="L10" s="10"/>
      <c r="M10" s="93"/>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11" priority="3" stopIfTrue="1">
      <formula>DAY(C4)&gt;8</formula>
    </cfRule>
  </conditionalFormatting>
  <conditionalFormatting sqref="C8:I10">
    <cfRule type="expression" dxfId="10" priority="2" stopIfTrue="1">
      <formula>AND(DAY(C8)&gt;=1,DAY(C8)&lt;=15)</formula>
    </cfRule>
  </conditionalFormatting>
  <conditionalFormatting sqref="C4:I9">
    <cfRule type="expression" dxfId="9" priority="4">
      <formula>VLOOKUP(DAY(C4),AssignmentDays,1,FALSE)=DAY(C4)</formula>
    </cfRule>
  </conditionalFormatting>
  <conditionalFormatting sqref="B14:J33">
    <cfRule type="expression" dxfId="8" priority="1">
      <formula>B14&lt;&gt;""</formula>
    </cfRule>
  </conditionalFormatting>
  <printOptions horizontalCentered="1"/>
  <pageMargins left="0.5" right="0.5" top="0.5" bottom="0.5" header="0.3" footer="0.3"/>
  <pageSetup scale="63"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42A2"/>
    <pageSetUpPr fitToPage="1"/>
  </sheetPr>
  <dimension ref="A1:AO34"/>
  <sheetViews>
    <sheetView showGridLines="0" zoomScaleNormal="100" zoomScalePageLayoutView="84" workbookViewId="0">
      <selection activeCell="M30" sqref="M30:N30"/>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198" t="s">
        <v>3</v>
      </c>
      <c r="C2" s="15"/>
      <c r="D2" s="15"/>
      <c r="E2" s="15"/>
      <c r="F2" s="15"/>
      <c r="G2" s="15"/>
      <c r="H2" s="15"/>
      <c r="I2" s="15"/>
      <c r="J2" s="16"/>
      <c r="K2" s="201" t="s">
        <v>87</v>
      </c>
      <c r="L2" s="202">
        <v>2013</v>
      </c>
      <c r="M2" s="202"/>
      <c r="N2" s="19"/>
    </row>
    <row r="3" spans="1:14" ht="21" customHeight="1" x14ac:dyDescent="0.2">
      <c r="A3" s="2"/>
      <c r="B3" s="199"/>
      <c r="C3" s="41" t="s">
        <v>84</v>
      </c>
      <c r="D3" s="41" t="s">
        <v>1</v>
      </c>
      <c r="E3" s="41" t="s">
        <v>85</v>
      </c>
      <c r="F3" s="41" t="s">
        <v>1</v>
      </c>
      <c r="G3" s="41" t="s">
        <v>86</v>
      </c>
      <c r="H3" s="41" t="s">
        <v>0</v>
      </c>
      <c r="I3" s="41" t="s">
        <v>0</v>
      </c>
      <c r="J3" s="3"/>
      <c r="K3" s="203"/>
      <c r="L3" s="204"/>
      <c r="M3" s="204"/>
      <c r="N3" s="20"/>
    </row>
    <row r="4" spans="1:14" ht="18" customHeight="1" x14ac:dyDescent="0.2">
      <c r="A4" s="2"/>
      <c r="B4" s="199"/>
      <c r="C4" s="4">
        <f>IF(DAY(NovSun1)=1,NovSun1-6,NovSun1+1)</f>
        <v>42674</v>
      </c>
      <c r="D4" s="4">
        <f>IF(DAY(NovSun1)=1,NovSun1-5,NovSun1+2)</f>
        <v>42675</v>
      </c>
      <c r="E4" s="4">
        <f>IF(DAY(NovSun1)=1,NovSun1-4,NovSun1+3)</f>
        <v>42676</v>
      </c>
      <c r="F4" s="4">
        <f>IF(DAY(NovSun1)=1,NovSun1-3,NovSun1+4)</f>
        <v>42677</v>
      </c>
      <c r="G4" s="4">
        <f>IF(DAY(NovSun1)=1,NovSun1-2,NovSun1+5)</f>
        <v>42678</v>
      </c>
      <c r="H4" s="4">
        <f>IF(DAY(NovSun1)=1,NovSun1-1,NovSun1+6)</f>
        <v>42679</v>
      </c>
      <c r="I4" s="4">
        <f>IF(DAY(NovSun1)=1,NovSun1,NovSun1+7)</f>
        <v>42680</v>
      </c>
      <c r="J4" s="3"/>
      <c r="K4" s="112"/>
      <c r="L4" s="10">
        <v>6</v>
      </c>
      <c r="M4" s="113" t="s">
        <v>96</v>
      </c>
      <c r="N4" s="114"/>
    </row>
    <row r="5" spans="1:14" ht="18" customHeight="1" x14ac:dyDescent="0.2">
      <c r="A5" s="2"/>
      <c r="B5" s="199"/>
      <c r="C5" s="4">
        <f>IF(DAY(NovSun1)=1,NovSun1+1,NovSun1+8)</f>
        <v>42681</v>
      </c>
      <c r="D5" s="4">
        <f>IF(DAY(NovSun1)=1,NovSun1+2,NovSun1+9)</f>
        <v>42682</v>
      </c>
      <c r="E5" s="4">
        <f>IF(DAY(NovSun1)=1,NovSun1+3,NovSun1+10)</f>
        <v>42683</v>
      </c>
      <c r="F5" s="4">
        <f>IF(DAY(NovSun1)=1,NovSun1+4,NovSun1+11)</f>
        <v>42684</v>
      </c>
      <c r="G5" s="4">
        <f>IF(DAY(NovSun1)=1,NovSun1+5,NovSun1+12)</f>
        <v>42685</v>
      </c>
      <c r="H5" s="4">
        <f>IF(DAY(NovSun1)=1,NovSun1+6,NovSun1+13)</f>
        <v>42686</v>
      </c>
      <c r="I5" s="4">
        <f>IF(DAY(NovSun1)=1,NovSun1+7,NovSun1+14)</f>
        <v>42687</v>
      </c>
      <c r="J5" s="3"/>
      <c r="K5" s="86"/>
      <c r="L5" s="11">
        <v>22</v>
      </c>
      <c r="M5" s="82" t="s">
        <v>53</v>
      </c>
      <c r="N5" s="83"/>
    </row>
    <row r="6" spans="1:14" ht="18" customHeight="1" x14ac:dyDescent="0.2">
      <c r="A6" s="2"/>
      <c r="B6" s="199"/>
      <c r="C6" s="4">
        <f>IF(DAY(NovSun1)=1,NovSun1+8,NovSun1+15)</f>
        <v>42688</v>
      </c>
      <c r="D6" s="4">
        <f>IF(DAY(NovSun1)=1,NovSun1+9,NovSun1+16)</f>
        <v>42689</v>
      </c>
      <c r="E6" s="4">
        <f>IF(DAY(NovSun1)=1,NovSun1+10,NovSun1+17)</f>
        <v>42690</v>
      </c>
      <c r="F6" s="4">
        <f>IF(DAY(NovSun1)=1,NovSun1+11,NovSun1+18)</f>
        <v>42691</v>
      </c>
      <c r="G6" s="4">
        <f>IF(DAY(NovSun1)=1,NovSun1+12,NovSun1+19)</f>
        <v>42692</v>
      </c>
      <c r="H6" s="4">
        <f>IF(DAY(NovSun1)=1,NovSun1+13,NovSun1+20)</f>
        <v>42693</v>
      </c>
      <c r="I6" s="4">
        <f>IF(DAY(NovSun1)=1,NovSun1+14,NovSun1+21)</f>
        <v>42694</v>
      </c>
      <c r="J6" s="3"/>
      <c r="K6" s="86"/>
      <c r="L6" s="11">
        <v>27</v>
      </c>
      <c r="M6" s="82" t="s">
        <v>58</v>
      </c>
      <c r="N6" s="83"/>
    </row>
    <row r="7" spans="1:14" ht="18" customHeight="1" x14ac:dyDescent="0.2">
      <c r="A7" s="2"/>
      <c r="B7" s="199"/>
      <c r="C7" s="4">
        <f>IF(DAY(NovSun1)=1,NovSun1+15,NovSun1+22)</f>
        <v>42695</v>
      </c>
      <c r="D7" s="4">
        <f>IF(DAY(NovSun1)=1,NovSun1+16,NovSun1+23)</f>
        <v>42696</v>
      </c>
      <c r="E7" s="4">
        <f>IF(DAY(NovSun1)=1,NovSun1+17,NovSun1+24)</f>
        <v>42697</v>
      </c>
      <c r="F7" s="4">
        <f>IF(DAY(NovSun1)=1,NovSun1+18,NovSun1+25)</f>
        <v>42698</v>
      </c>
      <c r="G7" s="4">
        <f>IF(DAY(NovSun1)=1,NovSun1+19,NovSun1+26)</f>
        <v>42699</v>
      </c>
      <c r="H7" s="4">
        <f>IF(DAY(NovSun1)=1,NovSun1+20,NovSun1+27)</f>
        <v>42700</v>
      </c>
      <c r="I7" s="4">
        <f>IF(DAY(NovSun1)=1,NovSun1+21,NovSun1+28)</f>
        <v>42701</v>
      </c>
      <c r="J7" s="3"/>
      <c r="K7" s="5"/>
      <c r="L7" s="11"/>
      <c r="M7" s="82"/>
      <c r="N7" s="83"/>
    </row>
    <row r="8" spans="1:14" ht="18.75" customHeight="1" x14ac:dyDescent="0.2">
      <c r="A8" s="2"/>
      <c r="B8" s="199"/>
      <c r="C8" s="4">
        <f>IF(DAY(NovSun1)=1,NovSun1+22,NovSun1+29)</f>
        <v>42702</v>
      </c>
      <c r="D8" s="4">
        <f>IF(DAY(NovSun1)=1,NovSun1+23,NovSun1+30)</f>
        <v>42703</v>
      </c>
      <c r="E8" s="4">
        <f>IF(DAY(NovSun1)=1,NovSun1+24,NovSun1+31)</f>
        <v>42704</v>
      </c>
      <c r="F8" s="4">
        <f>IF(DAY(NovSun1)=1,NovSun1+25,NovSun1+32)</f>
        <v>42705</v>
      </c>
      <c r="G8" s="4">
        <f>IF(DAY(NovSun1)=1,NovSun1+26,NovSun1+33)</f>
        <v>42706</v>
      </c>
      <c r="H8" s="4">
        <f>IF(DAY(NovSun1)=1,NovSun1+27,NovSun1+34)</f>
        <v>42707</v>
      </c>
      <c r="I8" s="4">
        <f>IF(DAY(NovSun1)=1,NovSun1+28,NovSun1+35)</f>
        <v>42708</v>
      </c>
      <c r="J8" s="3"/>
      <c r="K8" s="5"/>
      <c r="L8" s="11"/>
      <c r="M8" s="82"/>
      <c r="N8" s="83"/>
    </row>
    <row r="9" spans="1:14" ht="18" customHeight="1" x14ac:dyDescent="0.2">
      <c r="A9" s="2"/>
      <c r="B9" s="199"/>
      <c r="C9" s="4">
        <f>IF(DAY(NovSun1)=1,NovSun1+29,NovSun1+36)</f>
        <v>42709</v>
      </c>
      <c r="D9" s="4">
        <f>IF(DAY(NovSun1)=1,NovSun1+30,NovSun1+37)</f>
        <v>42710</v>
      </c>
      <c r="E9" s="4">
        <f>IF(DAY(NovSun1)=1,NovSun1+31,NovSun1+38)</f>
        <v>42711</v>
      </c>
      <c r="F9" s="4">
        <f>IF(DAY(NovSun1)=1,NovSun1+32,NovSun1+39)</f>
        <v>42712</v>
      </c>
      <c r="G9" s="4">
        <f>IF(DAY(NovSun1)=1,NovSun1+33,NovSun1+40)</f>
        <v>42713</v>
      </c>
      <c r="H9" s="4">
        <f>IF(DAY(NovSun1)=1,NovSun1+34,NovSun1+41)</f>
        <v>42714</v>
      </c>
      <c r="I9" s="4">
        <f>IF(DAY(NovSun1)=1,NovSun1+35,NovSun1+42)</f>
        <v>42715</v>
      </c>
      <c r="J9" s="3"/>
      <c r="K9" s="6"/>
      <c r="L9" s="12"/>
      <c r="M9" s="91"/>
      <c r="N9" s="92"/>
    </row>
    <row r="10" spans="1:14" ht="18" customHeight="1" x14ac:dyDescent="0.2">
      <c r="A10" s="2"/>
      <c r="B10" s="200"/>
      <c r="C10" s="17"/>
      <c r="D10" s="17"/>
      <c r="E10" s="17"/>
      <c r="F10" s="17"/>
      <c r="G10" s="17"/>
      <c r="H10" s="17"/>
      <c r="I10" s="17"/>
      <c r="J10" s="18"/>
      <c r="K10" s="85"/>
      <c r="L10" s="10"/>
      <c r="M10" s="93"/>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7" priority="3" stopIfTrue="1">
      <formula>DAY(C4)&gt;8</formula>
    </cfRule>
  </conditionalFormatting>
  <conditionalFormatting sqref="C8:I10">
    <cfRule type="expression" dxfId="6" priority="2" stopIfTrue="1">
      <formula>AND(DAY(C8)&gt;=1,DAY(C8)&lt;=15)</formula>
    </cfRule>
  </conditionalFormatting>
  <conditionalFormatting sqref="C4:I9">
    <cfRule type="expression" dxfId="5" priority="4">
      <formula>VLOOKUP(DAY(C4),AssignmentDays,1,FALSE)=DAY(C4)</formula>
    </cfRule>
  </conditionalFormatting>
  <conditionalFormatting sqref="B14:J33">
    <cfRule type="expression" dxfId="4" priority="1">
      <formula>B14&lt;&gt;""</formula>
    </cfRule>
  </conditionalFormatting>
  <printOptions horizontalCentered="1"/>
  <pageMargins left="0.5" right="0.5" top="0.5" bottom="0.5" header="0.3" footer="0.3"/>
  <pageSetup scale="63"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749992370372631"/>
    <pageSetUpPr fitToPage="1"/>
  </sheetPr>
  <dimension ref="A1:AO34"/>
  <sheetViews>
    <sheetView showGridLines="0" zoomScaleNormal="100" zoomScalePageLayoutView="84" workbookViewId="0">
      <selection activeCell="U19" sqref="U19"/>
    </sheetView>
  </sheetViews>
  <sheetFormatPr baseColWidth="10" defaultColWidth="8.7109375" defaultRowHeight="16.5" customHeight="1" x14ac:dyDescent="0.2"/>
  <cols>
    <col min="1" max="1" width="2.28515625" style="1" customWidth="1"/>
    <col min="2" max="2" width="12.7109375" style="1" customWidth="1"/>
    <col min="3" max="10" width="6.7109375" style="1" customWidth="1"/>
    <col min="11" max="11" width="7.28515625" style="1" customWidth="1"/>
    <col min="12" max="12" width="3.85546875" customWidth="1"/>
    <col min="13" max="13" width="51.42578125" style="1" customWidth="1"/>
    <col min="14" max="14" width="10.7109375" style="1" customWidth="1"/>
    <col min="15" max="15" width="2.28515625" customWidth="1"/>
    <col min="16" max="22" width="8.85546875" customWidth="1"/>
    <col min="42" max="16384" width="8.7109375" style="1"/>
  </cols>
  <sheetData>
    <row r="1" spans="1:14" ht="11.25" customHeight="1" x14ac:dyDescent="0.2"/>
    <row r="2" spans="1:14" ht="18" customHeight="1" x14ac:dyDescent="0.2">
      <c r="A2" s="2"/>
      <c r="B2" s="205" t="s">
        <v>2</v>
      </c>
      <c r="C2" s="15"/>
      <c r="D2" s="15"/>
      <c r="E2" s="15"/>
      <c r="F2" s="15"/>
      <c r="G2" s="15"/>
      <c r="H2" s="15"/>
      <c r="I2" s="15"/>
      <c r="J2" s="16"/>
      <c r="K2" s="208" t="s">
        <v>90</v>
      </c>
      <c r="L2" s="209">
        <v>2013</v>
      </c>
      <c r="M2" s="209"/>
      <c r="N2" s="19"/>
    </row>
    <row r="3" spans="1:14" ht="21" customHeight="1" x14ac:dyDescent="0.2">
      <c r="A3" s="2"/>
      <c r="B3" s="206"/>
      <c r="C3" s="42" t="s">
        <v>84</v>
      </c>
      <c r="D3" s="42" t="s">
        <v>1</v>
      </c>
      <c r="E3" s="42" t="s">
        <v>85</v>
      </c>
      <c r="F3" s="43" t="s">
        <v>1</v>
      </c>
      <c r="G3" s="44" t="s">
        <v>86</v>
      </c>
      <c r="H3" s="44" t="s">
        <v>0</v>
      </c>
      <c r="I3" s="44" t="s">
        <v>0</v>
      </c>
      <c r="J3" s="3"/>
      <c r="K3" s="210"/>
      <c r="L3" s="211"/>
      <c r="M3" s="211"/>
      <c r="N3" s="20"/>
    </row>
    <row r="4" spans="1:14" ht="18" customHeight="1" x14ac:dyDescent="0.2">
      <c r="A4" s="2"/>
      <c r="B4" s="206"/>
      <c r="C4" s="4">
        <f>IF(DAY(DecSun1)=1,DecSun1-6,DecSun1+1)</f>
        <v>42702</v>
      </c>
      <c r="D4" s="4">
        <f>IF(DAY(DecSun1)=1,DecSun1-5,DecSun1+2)</f>
        <v>42703</v>
      </c>
      <c r="E4" s="4">
        <f>IF(DAY(DecSun1)=1,DecSun1-4,DecSun1+3)</f>
        <v>42704</v>
      </c>
      <c r="F4" s="4">
        <f>IF(DAY(DecSun1)=1,DecSun1-3,DecSun1+4)</f>
        <v>42705</v>
      </c>
      <c r="G4" s="4">
        <f>IF(DAY(DecSun1)=1,DecSun1-2,DecSun1+5)</f>
        <v>42706</v>
      </c>
      <c r="H4" s="4">
        <f>IF(DAY(DecSun1)=1,DecSun1-1,DecSun1+6)</f>
        <v>42707</v>
      </c>
      <c r="I4" s="4">
        <f>IF(DAY(DecSun1)=1,DecSun1,DecSun1+7)</f>
        <v>42708</v>
      </c>
      <c r="J4" s="3"/>
      <c r="K4" s="112"/>
      <c r="L4" s="11">
        <v>1</v>
      </c>
      <c r="M4" s="82" t="s">
        <v>62</v>
      </c>
      <c r="N4" s="83"/>
    </row>
    <row r="5" spans="1:14" ht="18" customHeight="1" x14ac:dyDescent="0.2">
      <c r="A5" s="2"/>
      <c r="B5" s="206"/>
      <c r="C5" s="4">
        <f>IF(DAY(DecSun1)=1,DecSun1+1,DecSun1+8)</f>
        <v>42709</v>
      </c>
      <c r="D5" s="4">
        <f>IF(DAY(DecSun1)=1,DecSun1+2,DecSun1+9)</f>
        <v>42710</v>
      </c>
      <c r="E5" s="4">
        <f>IF(DAY(DecSun1)=1,DecSun1+3,DecSun1+10)</f>
        <v>42711</v>
      </c>
      <c r="F5" s="4">
        <f>IF(DAY(DecSun1)=1,DecSun1+4,DecSun1+11)</f>
        <v>42712</v>
      </c>
      <c r="G5" s="4">
        <f>IF(DAY(DecSun1)=1,DecSun1+5,DecSun1+12)</f>
        <v>42713</v>
      </c>
      <c r="H5" s="4">
        <f>IF(DAY(DecSun1)=1,DecSun1+6,DecSun1+13)</f>
        <v>42714</v>
      </c>
      <c r="I5" s="4">
        <f>IF(DAY(DecSun1)=1,DecSun1+7,DecSun1+14)</f>
        <v>42715</v>
      </c>
      <c r="J5" s="3"/>
      <c r="K5" s="86"/>
      <c r="L5" s="10">
        <v>2</v>
      </c>
      <c r="M5" s="113" t="s">
        <v>22</v>
      </c>
      <c r="N5" s="114"/>
    </row>
    <row r="6" spans="1:14" ht="18" customHeight="1" x14ac:dyDescent="0.2">
      <c r="A6" s="2"/>
      <c r="B6" s="206"/>
      <c r="C6" s="4">
        <f>IF(DAY(DecSun1)=1,DecSun1+8,DecSun1+15)</f>
        <v>42716</v>
      </c>
      <c r="D6" s="4">
        <f>IF(DAY(DecSun1)=1,DecSun1+9,DecSun1+16)</f>
        <v>42717</v>
      </c>
      <c r="E6" s="4">
        <f>IF(DAY(DecSun1)=1,DecSun1+10,DecSun1+17)</f>
        <v>42718</v>
      </c>
      <c r="F6" s="4">
        <f>IF(DAY(DecSun1)=1,DecSun1+11,DecSun1+18)</f>
        <v>42719</v>
      </c>
      <c r="G6" s="4">
        <f>IF(DAY(DecSun1)=1,DecSun1+12,DecSun1+19)</f>
        <v>42720</v>
      </c>
      <c r="H6" s="4">
        <f>IF(DAY(DecSun1)=1,DecSun1+13,DecSun1+20)</f>
        <v>42721</v>
      </c>
      <c r="I6" s="4">
        <f>IF(DAY(DecSun1)=1,DecSun1+14,DecSun1+21)</f>
        <v>42722</v>
      </c>
      <c r="J6" s="3"/>
      <c r="K6" s="86"/>
      <c r="L6" s="11">
        <v>4</v>
      </c>
      <c r="M6" s="82" t="s">
        <v>37</v>
      </c>
      <c r="N6" s="83"/>
    </row>
    <row r="7" spans="1:14" ht="18" customHeight="1" x14ac:dyDescent="0.2">
      <c r="A7" s="2"/>
      <c r="B7" s="206"/>
      <c r="C7" s="4">
        <f>IF(DAY(DecSun1)=1,DecSun1+15,DecSun1+22)</f>
        <v>42723</v>
      </c>
      <c r="D7" s="4">
        <f>IF(DAY(DecSun1)=1,DecSun1+16,DecSun1+23)</f>
        <v>42724</v>
      </c>
      <c r="E7" s="4">
        <f>IF(DAY(DecSun1)=1,DecSun1+17,DecSun1+24)</f>
        <v>42725</v>
      </c>
      <c r="F7" s="4">
        <f>IF(DAY(DecSun1)=1,DecSun1+18,DecSun1+25)</f>
        <v>42726</v>
      </c>
      <c r="G7" s="54">
        <f>IF(DAY(DecSun1)=1,DecSun1+19,DecSun1+26)</f>
        <v>42727</v>
      </c>
      <c r="H7" s="4">
        <f>IF(DAY(DecSun1)=1,DecSun1+20,DecSun1+27)</f>
        <v>42728</v>
      </c>
      <c r="I7" s="4">
        <f>IF(DAY(DecSun1)=1,DecSun1+21,DecSun1+28)</f>
        <v>42729</v>
      </c>
      <c r="J7" s="3"/>
      <c r="K7" s="5"/>
      <c r="L7" s="11">
        <v>6</v>
      </c>
      <c r="M7" s="82" t="s">
        <v>64</v>
      </c>
      <c r="N7" s="83"/>
    </row>
    <row r="8" spans="1:14" ht="18.75" customHeight="1" x14ac:dyDescent="0.2">
      <c r="A8" s="2"/>
      <c r="B8" s="206"/>
      <c r="C8" s="4">
        <f>IF(DAY(DecSun1)=1,DecSun1+22,DecSun1+29)</f>
        <v>42730</v>
      </c>
      <c r="D8" s="4">
        <f>IF(DAY(DecSun1)=1,DecSun1+23,DecSun1+30)</f>
        <v>42731</v>
      </c>
      <c r="E8" s="4">
        <f>IF(DAY(DecSun1)=1,DecSun1+24,DecSun1+31)</f>
        <v>42732</v>
      </c>
      <c r="F8" s="4">
        <f>IF(DAY(DecSun1)=1,DecSun1+25,DecSun1+32)</f>
        <v>42733</v>
      </c>
      <c r="G8" s="4">
        <f>IF(DAY(DecSun1)=1,DecSun1+26,DecSun1+33)</f>
        <v>42734</v>
      </c>
      <c r="H8" s="4">
        <f>IF(DAY(DecSun1)=1,DecSun1+27,DecSun1+34)</f>
        <v>42735</v>
      </c>
      <c r="I8" s="4">
        <f>IF(DAY(DecSun1)=1,DecSun1+28,DecSun1+35)</f>
        <v>42736</v>
      </c>
      <c r="J8" s="3"/>
      <c r="K8" s="5"/>
      <c r="L8" s="12">
        <v>13</v>
      </c>
      <c r="M8" s="91" t="s">
        <v>82</v>
      </c>
      <c r="N8" s="92"/>
    </row>
    <row r="9" spans="1:14" ht="18" customHeight="1" x14ac:dyDescent="0.2">
      <c r="A9" s="2"/>
      <c r="B9" s="206"/>
      <c r="C9" s="4">
        <f>IF(DAY(DecSun1)=1,DecSun1+29,DecSun1+36)</f>
        <v>42737</v>
      </c>
      <c r="D9" s="4">
        <f>IF(DAY(DecSun1)=1,DecSun1+30,DecSun1+37)</f>
        <v>42738</v>
      </c>
      <c r="E9" s="4">
        <f>IF(DAY(DecSun1)=1,DecSun1+31,DecSun1+38)</f>
        <v>42739</v>
      </c>
      <c r="F9" s="4">
        <f>IF(DAY(DecSun1)=1,DecSun1+32,DecSun1+39)</f>
        <v>42740</v>
      </c>
      <c r="G9" s="4">
        <f>IF(DAY(DecSun1)=1,DecSun1+33,DecSun1+40)</f>
        <v>42741</v>
      </c>
      <c r="H9" s="4">
        <f>IF(DAY(DecSun1)=1,DecSun1+34,DecSun1+41)</f>
        <v>42742</v>
      </c>
      <c r="I9" s="4">
        <f>IF(DAY(DecSun1)=1,DecSun1+35,DecSun1+42)</f>
        <v>42743</v>
      </c>
      <c r="J9" s="3"/>
      <c r="K9" s="6"/>
      <c r="L9" s="11">
        <v>23</v>
      </c>
      <c r="M9" s="82" t="s">
        <v>28</v>
      </c>
      <c r="N9" s="83"/>
    </row>
    <row r="10" spans="1:14" ht="18" customHeight="1" x14ac:dyDescent="0.2">
      <c r="A10" s="2"/>
      <c r="B10" s="207"/>
      <c r="C10" s="17"/>
      <c r="D10" s="17"/>
      <c r="E10" s="17"/>
      <c r="F10" s="17"/>
      <c r="G10" s="17"/>
      <c r="H10" s="17"/>
      <c r="I10" s="17"/>
      <c r="J10" s="18"/>
      <c r="K10" s="85"/>
      <c r="L10" s="10"/>
      <c r="M10" s="93"/>
      <c r="N10" s="94"/>
    </row>
    <row r="11" spans="1:14" ht="18" customHeight="1" x14ac:dyDescent="0.2">
      <c r="A11" s="2"/>
      <c r="B11" s="71"/>
      <c r="C11" s="123"/>
      <c r="D11" s="123"/>
      <c r="E11" s="123"/>
      <c r="F11" s="123"/>
      <c r="G11" s="123"/>
      <c r="H11" s="123"/>
      <c r="I11" s="123"/>
      <c r="J11" s="73"/>
      <c r="K11" s="86"/>
      <c r="L11" s="11"/>
      <c r="M11" s="82"/>
      <c r="N11" s="83"/>
    </row>
    <row r="12" spans="1:14" ht="18" customHeight="1" x14ac:dyDescent="0.2">
      <c r="A12" s="2"/>
      <c r="B12" s="71"/>
      <c r="C12" s="123"/>
      <c r="D12" s="123"/>
      <c r="E12" s="123"/>
      <c r="F12" s="123"/>
      <c r="G12" s="123"/>
      <c r="H12" s="123"/>
      <c r="I12" s="123"/>
      <c r="J12" s="73"/>
      <c r="K12" s="86"/>
      <c r="L12" s="11"/>
      <c r="M12" s="82"/>
      <c r="N12" s="83"/>
    </row>
    <row r="13" spans="1:14" ht="18" customHeight="1" x14ac:dyDescent="0.2">
      <c r="B13" s="21"/>
      <c r="C13" s="62"/>
      <c r="D13" s="64"/>
      <c r="E13" s="62"/>
      <c r="F13" s="64"/>
      <c r="G13" s="62"/>
      <c r="H13" s="64"/>
      <c r="I13" s="62"/>
      <c r="J13" s="63"/>
      <c r="K13" s="5"/>
      <c r="L13" s="11"/>
      <c r="M13" s="82"/>
      <c r="N13" s="83"/>
    </row>
    <row r="14" spans="1:14" ht="18" customHeight="1" x14ac:dyDescent="0.2">
      <c r="B14" s="22"/>
      <c r="C14" s="60"/>
      <c r="D14" s="61"/>
      <c r="E14" s="60"/>
      <c r="F14" s="61"/>
      <c r="G14" s="60"/>
      <c r="H14" s="61"/>
      <c r="I14" s="60"/>
      <c r="J14" s="77"/>
      <c r="K14" s="5"/>
      <c r="L14" s="11"/>
      <c r="M14" s="82"/>
      <c r="N14" s="83"/>
    </row>
    <row r="15" spans="1:14" ht="18" customHeight="1" x14ac:dyDescent="0.2">
      <c r="B15" s="23"/>
      <c r="C15" s="58"/>
      <c r="D15" s="59"/>
      <c r="E15" s="58"/>
      <c r="F15" s="59"/>
      <c r="G15" s="58"/>
      <c r="H15" s="59"/>
      <c r="I15" s="78"/>
      <c r="J15" s="79"/>
      <c r="K15" s="7"/>
      <c r="L15" s="13"/>
      <c r="M15" s="91"/>
      <c r="N15" s="92"/>
    </row>
    <row r="16" spans="1:14" ht="18" customHeight="1" x14ac:dyDescent="0.2">
      <c r="B16" s="22"/>
      <c r="C16" s="60"/>
      <c r="D16" s="61"/>
      <c r="E16" s="60"/>
      <c r="F16" s="61"/>
      <c r="G16" s="60"/>
      <c r="H16" s="61"/>
      <c r="I16" s="119"/>
      <c r="J16" s="120"/>
      <c r="K16" s="117"/>
      <c r="L16" s="10"/>
      <c r="M16" s="93"/>
      <c r="N16" s="94"/>
    </row>
    <row r="17" spans="2:14" ht="18" customHeight="1" x14ac:dyDescent="0.2">
      <c r="B17" s="23"/>
      <c r="C17" s="58"/>
      <c r="D17" s="59"/>
      <c r="E17" s="58"/>
      <c r="F17" s="59"/>
      <c r="G17" s="58"/>
      <c r="H17" s="59"/>
      <c r="I17" s="78"/>
      <c r="J17" s="79"/>
      <c r="K17" s="118"/>
      <c r="L17" s="11"/>
      <c r="M17" s="82"/>
      <c r="N17" s="83"/>
    </row>
    <row r="18" spans="2:14" ht="18" customHeight="1" x14ac:dyDescent="0.2">
      <c r="B18" s="24"/>
      <c r="C18" s="74"/>
      <c r="D18" s="75"/>
      <c r="E18" s="74"/>
      <c r="F18" s="75"/>
      <c r="G18" s="74"/>
      <c r="H18" s="75"/>
      <c r="I18" s="74"/>
      <c r="J18" s="76"/>
      <c r="K18" s="118"/>
      <c r="L18" s="11"/>
      <c r="M18" s="82"/>
      <c r="N18" s="83"/>
    </row>
    <row r="19" spans="2:14" ht="18" customHeight="1" x14ac:dyDescent="0.2">
      <c r="B19" s="23"/>
      <c r="C19" s="58"/>
      <c r="D19" s="59"/>
      <c r="E19" s="58"/>
      <c r="F19" s="59"/>
      <c r="G19" s="58"/>
      <c r="H19" s="59"/>
      <c r="I19" s="78"/>
      <c r="J19" s="79"/>
      <c r="K19" s="5"/>
      <c r="L19" s="11"/>
      <c r="M19" s="82"/>
      <c r="N19" s="83"/>
    </row>
    <row r="20" spans="2:14" ht="18" customHeight="1" x14ac:dyDescent="0.2">
      <c r="B20" s="22"/>
      <c r="C20" s="60"/>
      <c r="D20" s="61"/>
      <c r="E20" s="60"/>
      <c r="F20" s="61"/>
      <c r="G20" s="60"/>
      <c r="H20" s="61"/>
      <c r="I20" s="60"/>
      <c r="J20" s="77"/>
      <c r="K20" s="5"/>
      <c r="L20" s="11"/>
      <c r="M20" s="82"/>
      <c r="N20" s="83"/>
    </row>
    <row r="21" spans="2:14" ht="18" customHeight="1" x14ac:dyDescent="0.2">
      <c r="B21" s="23"/>
      <c r="C21" s="58"/>
      <c r="D21" s="59"/>
      <c r="E21" s="58"/>
      <c r="F21" s="59"/>
      <c r="G21" s="58"/>
      <c r="H21" s="59"/>
      <c r="I21" s="87"/>
      <c r="J21" s="88"/>
      <c r="K21" s="7"/>
      <c r="L21" s="13"/>
      <c r="M21" s="91"/>
      <c r="N21" s="92"/>
    </row>
    <row r="22" spans="2:14" ht="18" customHeight="1" x14ac:dyDescent="0.2">
      <c r="B22" s="22"/>
      <c r="C22" s="60"/>
      <c r="D22" s="61"/>
      <c r="E22" s="60"/>
      <c r="F22" s="61"/>
      <c r="G22" s="60"/>
      <c r="H22" s="61"/>
      <c r="I22" s="60"/>
      <c r="J22" s="77"/>
      <c r="K22" s="117"/>
      <c r="L22" s="10"/>
      <c r="M22" s="93"/>
      <c r="N22" s="94"/>
    </row>
    <row r="23" spans="2:14" ht="18" customHeight="1" x14ac:dyDescent="0.2">
      <c r="B23" s="23"/>
      <c r="C23" s="58"/>
      <c r="D23" s="59"/>
      <c r="E23" s="58"/>
      <c r="F23" s="59"/>
      <c r="G23" s="58"/>
      <c r="H23" s="59"/>
      <c r="I23" s="78"/>
      <c r="J23" s="79"/>
      <c r="K23" s="118"/>
      <c r="L23" s="11"/>
      <c r="M23" s="82"/>
      <c r="N23" s="83"/>
    </row>
    <row r="24" spans="2:14" ht="18" customHeight="1" x14ac:dyDescent="0.2">
      <c r="B24" s="22"/>
      <c r="C24" s="60"/>
      <c r="D24" s="61"/>
      <c r="E24" s="60"/>
      <c r="F24" s="61"/>
      <c r="G24" s="60"/>
      <c r="H24" s="61"/>
      <c r="I24" s="60"/>
      <c r="J24" s="77"/>
      <c r="K24" s="118"/>
      <c r="L24" s="11"/>
      <c r="M24" s="82"/>
      <c r="N24" s="83"/>
    </row>
    <row r="25" spans="2:14" ht="18" customHeight="1" x14ac:dyDescent="0.2">
      <c r="B25" s="23"/>
      <c r="C25" s="58"/>
      <c r="D25" s="59"/>
      <c r="E25" s="58"/>
      <c r="F25" s="59"/>
      <c r="G25" s="58"/>
      <c r="H25" s="59"/>
      <c r="I25" s="78"/>
      <c r="J25" s="79"/>
      <c r="K25" s="118"/>
      <c r="L25" s="11"/>
      <c r="M25" s="82"/>
      <c r="N25" s="83"/>
    </row>
    <row r="26" spans="2:14" ht="18" customHeight="1" x14ac:dyDescent="0.2">
      <c r="B26" s="22"/>
      <c r="C26" s="60"/>
      <c r="D26" s="61"/>
      <c r="E26" s="60"/>
      <c r="F26" s="61"/>
      <c r="G26" s="60"/>
      <c r="H26" s="61"/>
      <c r="I26" s="60"/>
      <c r="J26" s="77"/>
      <c r="K26" s="5"/>
      <c r="L26" s="11"/>
      <c r="M26" s="82"/>
      <c r="N26" s="83"/>
    </row>
    <row r="27" spans="2:14" ht="18" customHeight="1" x14ac:dyDescent="0.2">
      <c r="B27" s="23"/>
      <c r="C27" s="58"/>
      <c r="D27" s="59"/>
      <c r="E27" s="58"/>
      <c r="F27" s="59"/>
      <c r="G27" s="58"/>
      <c r="H27" s="59"/>
      <c r="I27" s="78"/>
      <c r="J27" s="79"/>
      <c r="K27" s="7"/>
      <c r="L27" s="13"/>
      <c r="M27" s="91"/>
      <c r="N27" s="92"/>
    </row>
    <row r="28" spans="2:14" ht="18" customHeight="1" x14ac:dyDescent="0.2">
      <c r="B28" s="22"/>
      <c r="C28" s="60"/>
      <c r="D28" s="61"/>
      <c r="E28" s="60"/>
      <c r="F28" s="61"/>
      <c r="G28" s="60"/>
      <c r="H28" s="61"/>
      <c r="I28" s="60"/>
      <c r="J28" s="77"/>
      <c r="K28" s="85"/>
      <c r="L28" s="10"/>
      <c r="M28" s="93"/>
      <c r="N28" s="94"/>
    </row>
    <row r="29" spans="2:14" ht="18" customHeight="1" x14ac:dyDescent="0.2">
      <c r="B29" s="23"/>
      <c r="C29" s="58"/>
      <c r="D29" s="59"/>
      <c r="E29" s="58"/>
      <c r="F29" s="59"/>
      <c r="G29" s="58"/>
      <c r="H29" s="59"/>
      <c r="I29" s="58"/>
      <c r="J29" s="84"/>
      <c r="K29" s="86"/>
      <c r="L29" s="11"/>
      <c r="M29" s="82"/>
      <c r="N29" s="83"/>
    </row>
    <row r="30" spans="2:14" ht="18" customHeight="1" x14ac:dyDescent="0.2">
      <c r="B30" s="22"/>
      <c r="C30" s="60"/>
      <c r="D30" s="61"/>
      <c r="E30" s="60"/>
      <c r="F30" s="61"/>
      <c r="G30" s="60"/>
      <c r="H30" s="61"/>
      <c r="I30" s="121"/>
      <c r="J30" s="122"/>
      <c r="K30" s="86"/>
      <c r="L30" s="11"/>
      <c r="M30" s="82"/>
      <c r="N30" s="83"/>
    </row>
    <row r="31" spans="2:14" ht="18" customHeight="1" x14ac:dyDescent="0.2">
      <c r="B31" s="23"/>
      <c r="C31" s="58"/>
      <c r="D31" s="59"/>
      <c r="E31" s="58"/>
      <c r="F31" s="59"/>
      <c r="G31" s="58"/>
      <c r="H31" s="59"/>
      <c r="I31" s="58"/>
      <c r="J31" s="84"/>
      <c r="K31" s="8"/>
      <c r="L31" s="11"/>
      <c r="M31" s="82"/>
      <c r="N31" s="83"/>
    </row>
    <row r="32" spans="2:14" ht="18" customHeight="1" x14ac:dyDescent="0.2">
      <c r="B32" s="22"/>
      <c r="C32" s="60"/>
      <c r="D32" s="61"/>
      <c r="E32" s="60"/>
      <c r="F32" s="61"/>
      <c r="G32" s="60"/>
      <c r="H32" s="61"/>
      <c r="I32" s="119"/>
      <c r="J32" s="120"/>
      <c r="K32" s="8"/>
      <c r="L32" s="11"/>
      <c r="M32" s="82"/>
      <c r="N32" s="83"/>
    </row>
    <row r="33" spans="2:14" ht="18" customHeight="1" x14ac:dyDescent="0.2">
      <c r="B33" s="25"/>
      <c r="C33" s="95"/>
      <c r="D33" s="96"/>
      <c r="E33" s="95"/>
      <c r="F33" s="96"/>
      <c r="G33" s="95"/>
      <c r="H33" s="96"/>
      <c r="I33" s="99"/>
      <c r="J33" s="100"/>
      <c r="K33" s="9"/>
      <c r="L33" s="14"/>
      <c r="M33" s="89"/>
      <c r="N33" s="90"/>
    </row>
    <row r="34" spans="2:14" ht="16.5" customHeight="1" x14ac:dyDescent="0.2">
      <c r="B34" s="26"/>
      <c r="C34" s="26"/>
      <c r="D34" s="26"/>
      <c r="E34" s="26"/>
      <c r="F34" s="26"/>
      <c r="G34" s="26"/>
      <c r="H34" s="26"/>
      <c r="I34" s="26"/>
      <c r="J34" s="26"/>
    </row>
  </sheetData>
  <mergeCells count="122">
    <mergeCell ref="M10:N10"/>
    <mergeCell ref="B11:J12"/>
    <mergeCell ref="M11:N11"/>
    <mergeCell ref="M12:N12"/>
    <mergeCell ref="C13:D13"/>
    <mergeCell ref="E13:F13"/>
    <mergeCell ref="G13:H13"/>
    <mergeCell ref="I13:J13"/>
    <mergeCell ref="M13:N13"/>
    <mergeCell ref="B2:B10"/>
    <mergeCell ref="K2:M3"/>
    <mergeCell ref="K4:K6"/>
    <mergeCell ref="M4:N4"/>
    <mergeCell ref="M5:N5"/>
    <mergeCell ref="M6:N6"/>
    <mergeCell ref="M7:N7"/>
    <mergeCell ref="M8:N8"/>
    <mergeCell ref="M9:N9"/>
    <mergeCell ref="K10:K12"/>
    <mergeCell ref="C14:D14"/>
    <mergeCell ref="E14:F14"/>
    <mergeCell ref="G14:H14"/>
    <mergeCell ref="I14:J14"/>
    <mergeCell ref="M14:N14"/>
    <mergeCell ref="C15:D15"/>
    <mergeCell ref="E15:F15"/>
    <mergeCell ref="G15:H15"/>
    <mergeCell ref="I15:J15"/>
    <mergeCell ref="M15:N15"/>
    <mergeCell ref="M17:N17"/>
    <mergeCell ref="C18:D18"/>
    <mergeCell ref="E18:F18"/>
    <mergeCell ref="G18:H18"/>
    <mergeCell ref="I18:J18"/>
    <mergeCell ref="M18:N18"/>
    <mergeCell ref="C16:D16"/>
    <mergeCell ref="E16:F16"/>
    <mergeCell ref="G16:H16"/>
    <mergeCell ref="I16:J16"/>
    <mergeCell ref="K16:K18"/>
    <mergeCell ref="M16:N16"/>
    <mergeCell ref="C17:D17"/>
    <mergeCell ref="E17:F17"/>
    <mergeCell ref="G17:H17"/>
    <mergeCell ref="I17:J17"/>
    <mergeCell ref="C19:D19"/>
    <mergeCell ref="E19:F19"/>
    <mergeCell ref="G19:H19"/>
    <mergeCell ref="I19:J19"/>
    <mergeCell ref="M19:N19"/>
    <mergeCell ref="C20:D20"/>
    <mergeCell ref="E20:F20"/>
    <mergeCell ref="G20:H20"/>
    <mergeCell ref="I20:J20"/>
    <mergeCell ref="M20:N20"/>
    <mergeCell ref="M22:N22"/>
    <mergeCell ref="C23:D23"/>
    <mergeCell ref="E23:F23"/>
    <mergeCell ref="G23:H23"/>
    <mergeCell ref="I23:J23"/>
    <mergeCell ref="M23:N23"/>
    <mergeCell ref="C21:D21"/>
    <mergeCell ref="E21:F21"/>
    <mergeCell ref="G21:H21"/>
    <mergeCell ref="I21:J21"/>
    <mergeCell ref="M21:N21"/>
    <mergeCell ref="C22:D22"/>
    <mergeCell ref="E22:F22"/>
    <mergeCell ref="G22:H22"/>
    <mergeCell ref="I22:J22"/>
    <mergeCell ref="K22:K25"/>
    <mergeCell ref="C24:D24"/>
    <mergeCell ref="E24:F24"/>
    <mergeCell ref="G24:H24"/>
    <mergeCell ref="I24:J24"/>
    <mergeCell ref="M24:N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M29:N29"/>
    <mergeCell ref="C30:D30"/>
    <mergeCell ref="E30:F30"/>
    <mergeCell ref="G30:H30"/>
    <mergeCell ref="I30:J30"/>
    <mergeCell ref="M30:N30"/>
    <mergeCell ref="C28:D28"/>
    <mergeCell ref="E28:F28"/>
    <mergeCell ref="G28:H28"/>
    <mergeCell ref="I28:J28"/>
    <mergeCell ref="K28:K30"/>
    <mergeCell ref="M28:N28"/>
    <mergeCell ref="C29:D29"/>
    <mergeCell ref="E29:F29"/>
    <mergeCell ref="G29:H29"/>
    <mergeCell ref="I29:J29"/>
    <mergeCell ref="C33:D33"/>
    <mergeCell ref="E33:F33"/>
    <mergeCell ref="G33:H33"/>
    <mergeCell ref="I33:J33"/>
    <mergeCell ref="M33:N33"/>
    <mergeCell ref="C31:D31"/>
    <mergeCell ref="E31:F31"/>
    <mergeCell ref="G31:H31"/>
    <mergeCell ref="I31:J31"/>
    <mergeCell ref="M31:N31"/>
    <mergeCell ref="C32:D32"/>
    <mergeCell ref="E32:F32"/>
    <mergeCell ref="G32:H32"/>
    <mergeCell ref="I32:J32"/>
    <mergeCell ref="M32:N32"/>
  </mergeCells>
  <conditionalFormatting sqref="C4:H4">
    <cfRule type="expression" dxfId="3" priority="3" stopIfTrue="1">
      <formula>DAY(C4)&gt;8</formula>
    </cfRule>
  </conditionalFormatting>
  <conditionalFormatting sqref="C8:I10">
    <cfRule type="expression" dxfId="2" priority="2" stopIfTrue="1">
      <formula>AND(DAY(C8)&gt;=1,DAY(C8)&lt;=15)</formula>
    </cfRule>
  </conditionalFormatting>
  <conditionalFormatting sqref="C4:I9">
    <cfRule type="expression" dxfId="1" priority="4">
      <formula>VLOOKUP(DAY(C4),AssignmentDays,1,FALSE)=DAY(C4)</formula>
    </cfRule>
  </conditionalFormatting>
  <conditionalFormatting sqref="B14:J33">
    <cfRule type="expression" dxfId="0" priority="1">
      <formula>B14&lt;&gt;""</formula>
    </cfRule>
  </conditionalFormatting>
  <printOptions horizontalCentered="1"/>
  <pageMargins left="0.5" right="0.5" top="0.5" bottom="0.5" header="0.3" footer="0.3"/>
  <pageSetup scale="63"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mso-contentType ?>
<FormTemplates xmlns="http://schemas.microsoft.com/sharepoint/v3/contenttype/forms">
  <Display>DocumentLibraryForm</Display>
  <Edit>AssetEditForm</Edit>
  <New>DocumentLibraryForm</New>
</FormTemplates>
</file>

<file path=customXml/itemProps1.xml><?xml version="1.0" encoding="utf-8"?>
<ds:datastoreItem xmlns:ds="http://schemas.openxmlformats.org/officeDocument/2006/customXml" ds:itemID="{D2448E3E-0CBD-4242-8276-5BD1EC07BF77}">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37</vt:i4>
      </vt:variant>
    </vt:vector>
  </HeadingPairs>
  <TitlesOfParts>
    <vt:vector size="49" baseType="lpstr">
      <vt:lpstr>January</vt:lpstr>
      <vt:lpstr>February</vt:lpstr>
      <vt:lpstr>March</vt:lpstr>
      <vt:lpstr>April</vt:lpstr>
      <vt:lpstr>May</vt:lpstr>
      <vt:lpstr>June</vt:lpstr>
      <vt:lpstr>July</vt:lpstr>
      <vt:lpstr>August</vt:lpstr>
      <vt:lpstr>September</vt:lpstr>
      <vt:lpstr>October</vt:lpstr>
      <vt:lpstr>November</vt:lpstr>
      <vt:lpstr>December</vt:lpstr>
      <vt:lpstr>April!Área_de_impresión</vt:lpstr>
      <vt:lpstr>August!Área_de_impresión</vt:lpstr>
      <vt:lpstr>December!Área_de_impresión</vt:lpstr>
      <vt:lpstr>February!Área_de_impresión</vt:lpstr>
      <vt:lpstr>January!Área_de_impresión</vt:lpstr>
      <vt:lpstr>July!Área_de_impresión</vt:lpstr>
      <vt:lpstr>June!Área_de_impresión</vt:lpstr>
      <vt:lpstr>March!Área_de_impresión</vt:lpstr>
      <vt:lpstr>May!Área_de_impresión</vt:lpstr>
      <vt:lpstr>November!Área_de_impresión</vt:lpstr>
      <vt:lpstr>October!Área_de_impresión</vt:lpstr>
      <vt:lpstr>September!Área_de_impresión</vt:lpstr>
      <vt:lpstr>April!AssignmentDays</vt:lpstr>
      <vt:lpstr>August!AssignmentDays</vt:lpstr>
      <vt:lpstr>December!AssignmentDays</vt:lpstr>
      <vt:lpstr>February!AssignmentDays</vt:lpstr>
      <vt:lpstr>July!AssignmentDays</vt:lpstr>
      <vt:lpstr>June!AssignmentDays</vt:lpstr>
      <vt:lpstr>March!AssignmentDays</vt:lpstr>
      <vt:lpstr>May!AssignmentDays</vt:lpstr>
      <vt:lpstr>November!AssignmentDays</vt:lpstr>
      <vt:lpstr>October!AssignmentDays</vt:lpstr>
      <vt:lpstr>September!AssignmentDays</vt:lpstr>
      <vt:lpstr>AssignmentDays</vt:lpstr>
      <vt:lpstr>CalendarYear</vt:lpstr>
      <vt:lpstr>April!ImportantDatesTable</vt:lpstr>
      <vt:lpstr>August!ImportantDatesTable</vt:lpstr>
      <vt:lpstr>December!ImportantDatesTable</vt:lpstr>
      <vt:lpstr>February!ImportantDatesTable</vt:lpstr>
      <vt:lpstr>July!ImportantDatesTable</vt:lpstr>
      <vt:lpstr>June!ImportantDatesTable</vt:lpstr>
      <vt:lpstr>March!ImportantDatesTable</vt:lpstr>
      <vt:lpstr>May!ImportantDatesTable</vt:lpstr>
      <vt:lpstr>November!ImportantDatesTable</vt:lpstr>
      <vt:lpstr>October!ImportantDatesTable</vt:lpstr>
      <vt:lpstr>September!ImportantDatesTable</vt:lpstr>
      <vt:lpstr>ImportantDatesTable</vt:lpstr>
    </vt:vector>
  </TitlesOfParts>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Parque Lisboa</dc:creator>
  <cp:lastModifiedBy>Parque Lisboa</cp:lastModifiedBy>
  <dcterms:created xsi:type="dcterms:W3CDTF">2014-10-21T18:12:21Z</dcterms:created>
  <dcterms:modified xsi:type="dcterms:W3CDTF">2015-06-15T11:11:01Z</dcterms:modified>
  <cp:version/>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TemplateID">
    <vt:lpwstr>TC025512749991</vt:lpwstr>
  </property>
</Properties>
</file>